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435" tabRatio="822" activeTab="1"/>
  </bookViews>
  <sheets>
    <sheet name="SUMMARY" sheetId="13" r:id="rId1"/>
    <sheet name="BUILDING ESTIMATE" sheetId="12" r:id="rId2"/>
    <sheet name="BUILDING CONCRETE" sheetId="19" r:id="rId3"/>
    <sheet name="LUMBER ORDER LIST" sheetId="17" r:id="rId4"/>
    <sheet name="TRUSSES" sheetId="16" r:id="rId5"/>
    <sheet name="ELEC &amp; PLUMB &amp; HVAC" sheetId="22" r:id="rId6"/>
    <sheet name="SITE WORKS" sheetId="21" r:id="rId7"/>
  </sheets>
  <definedNames>
    <definedName name="_xlnm._FilterDatabase" localSheetId="2" hidden="1">'BUILDING CONCRETE'!$A$1:$L$576</definedName>
    <definedName name="_xlnm._FilterDatabase" localSheetId="1" hidden="1">'BUILDING ESTIMATE'!$A$1:$L$1532</definedName>
    <definedName name="_xlnm._FilterDatabase" localSheetId="5" hidden="1">'ELEC &amp; PLUMB &amp; HVAC'!$A$1:$L$569</definedName>
    <definedName name="_xlnm._FilterDatabase" localSheetId="3" hidden="1">'LUMBER ORDER LIST'!$A$1:$F$391</definedName>
    <definedName name="_xlnm._FilterDatabase" localSheetId="6" hidden="1">'SITE WORKS'!$A$1:$L$656</definedName>
    <definedName name="_xlnm._FilterDatabase" localSheetId="4" hidden="1">TRUSSES!$A$1:$J$44</definedName>
    <definedName name="Anchor_Bolt_Labor" localSheetId="5">#REF!</definedName>
    <definedName name="Anchor_Bolt_Labor">#REF!</definedName>
    <definedName name="Bentonite_WS" localSheetId="5">#REF!</definedName>
    <definedName name="Bentonite_WS">#REF!</definedName>
    <definedName name="BRICK" localSheetId="5">#REF!</definedName>
    <definedName name="BRICK" localSheetId="3">#REF!</definedName>
    <definedName name="BRICK" localSheetId="4">#REF!</definedName>
    <definedName name="BRICK">#REF!</definedName>
    <definedName name="BS_TD" localSheetId="5">#REF!</definedName>
    <definedName name="BS_TD">#REF!</definedName>
    <definedName name="CARP" localSheetId="5">#REF!</definedName>
    <definedName name="CARP" localSheetId="3">#REF!</definedName>
    <definedName name="CARP" localSheetId="4">#REF!</definedName>
    <definedName name="CARP">#REF!</definedName>
    <definedName name="CARPET" localSheetId="5">#REF!</definedName>
    <definedName name="CARPET" localSheetId="3">#REF!</definedName>
    <definedName name="CARPET" localSheetId="4">#REF!</definedName>
    <definedName name="CARPET">#REF!</definedName>
    <definedName name="Column_Footing_CY" localSheetId="5">#REF!</definedName>
    <definedName name="Column_Footing_CY">#REF!</definedName>
    <definedName name="Company" localSheetId="5">#REF!</definedName>
    <definedName name="Company">#REF!</definedName>
    <definedName name="Concrete_CY_Labor" localSheetId="5">#REF!</definedName>
    <definedName name="Concrete_CY_Labor">#REF!</definedName>
    <definedName name="Concrete_Paving_Labor" localSheetId="5">#REF!</definedName>
    <definedName name="Concrete_Paving_Labor">#REF!</definedName>
    <definedName name="Cost_per_Ton" localSheetId="5">#REF!</definedName>
    <definedName name="Cost_per_Ton">#REF!</definedName>
    <definedName name="Curb_LF" localSheetId="5">#REF!</definedName>
    <definedName name="Curb_LF">#REF!</definedName>
    <definedName name="Date" localSheetId="5">#REF!</definedName>
    <definedName name="Date">#REF!</definedName>
    <definedName name="ELECT" localSheetId="5">#REF!</definedName>
    <definedName name="ELECT" localSheetId="3">#REF!</definedName>
    <definedName name="ELECT" localSheetId="4">#REF!</definedName>
    <definedName name="ELECT">#REF!</definedName>
    <definedName name="FINISH" localSheetId="5">#REF!</definedName>
    <definedName name="FINISH" localSheetId="3">#REF!</definedName>
    <definedName name="FINISH" localSheetId="4">#REF!</definedName>
    <definedName name="FINISH">#REF!</definedName>
    <definedName name="Footing_Keyway" localSheetId="5">#REF!</definedName>
    <definedName name="Footing_Keyway">#REF!</definedName>
    <definedName name="Form_TD" localSheetId="5">#REF!</definedName>
    <definedName name="Form_TD">#REF!</definedName>
    <definedName name="GLAZER" localSheetId="5">#REF!</definedName>
    <definedName name="GLAZER" localSheetId="3">#REF!</definedName>
    <definedName name="GLAZER" localSheetId="4">#REF!</definedName>
    <definedName name="GLAZER">#REF!</definedName>
    <definedName name="Handicap_Labor" localSheetId="5">#REF!</definedName>
    <definedName name="Handicap_Labor">#REF!</definedName>
    <definedName name="IRON" localSheetId="5">#REF!</definedName>
    <definedName name="IRON" localSheetId="3">#REF!</definedName>
    <definedName name="IRON" localSheetId="4">#REF!</definedName>
    <definedName name="IRON">#REF!</definedName>
    <definedName name="LABOR" localSheetId="5">#REF!</definedName>
    <definedName name="LABOR" localSheetId="3">#REF!</definedName>
    <definedName name="LABOR" localSheetId="4">#REF!</definedName>
    <definedName name="LABOR">#REF!</definedName>
    <definedName name="Labor_Markup" localSheetId="5">#REF!</definedName>
    <definedName name="Labor_Markup">#REF!</definedName>
    <definedName name="Lean_Concrete" localSheetId="5">#REF!</definedName>
    <definedName name="Lean_Concrete">#REF!</definedName>
    <definedName name="LW_3000" localSheetId="5">#REF!</definedName>
    <definedName name="LW_3000">#REF!</definedName>
    <definedName name="LW_4000" localSheetId="5">#REF!</definedName>
    <definedName name="LW_4000">#REF!</definedName>
    <definedName name="Material_Markup" localSheetId="5">#REF!</definedName>
    <definedName name="Material_Markup">#REF!</definedName>
    <definedName name="Name" localSheetId="5">#REF!</definedName>
    <definedName name="Name">#REF!</definedName>
    <definedName name="NW_3000" localSheetId="5">#REF!</definedName>
    <definedName name="NW_3000">#REF!</definedName>
    <definedName name="NW_3500" localSheetId="5">#REF!</definedName>
    <definedName name="NW_3500">#REF!</definedName>
    <definedName name="NW_4000" localSheetId="5">#REF!</definedName>
    <definedName name="NW_4000">#REF!</definedName>
    <definedName name="NW_4500" localSheetId="5">#REF!</definedName>
    <definedName name="NW_4500">#REF!</definedName>
    <definedName name="NW_5000" localSheetId="5">#REF!</definedName>
    <definedName name="NW_5000">#REF!</definedName>
    <definedName name="OPER" localSheetId="5">#REF!</definedName>
    <definedName name="OPER" localSheetId="3">#REF!</definedName>
    <definedName name="OPER" localSheetId="4">#REF!</definedName>
    <definedName name="OPER">#REF!</definedName>
    <definedName name="PAINT" localSheetId="5">#REF!</definedName>
    <definedName name="PAINT" localSheetId="3">#REF!</definedName>
    <definedName name="PAINT" localSheetId="4">#REF!</definedName>
    <definedName name="PAINT">#REF!</definedName>
    <definedName name="PAR" localSheetId="5">#REF!</definedName>
    <definedName name="PAR" localSheetId="3">#REF!</definedName>
    <definedName name="PAR" localSheetId="4">#REF!</definedName>
    <definedName name="PAR">#REF!</definedName>
    <definedName name="Paver_Base_Labor" localSheetId="5">#REF!</definedName>
    <definedName name="Paver_Base_Labor">#REF!</definedName>
    <definedName name="PLUMB" localSheetId="5">#REF!</definedName>
    <definedName name="PLUMB" localSheetId="3">#REF!</definedName>
    <definedName name="PLUMB" localSheetId="4">#REF!</definedName>
    <definedName name="PLUMB">#REF!</definedName>
    <definedName name="_xlnm.Print_Area" localSheetId="2">'BUILDING CONCRETE'!$A$1:$L$576</definedName>
    <definedName name="_xlnm.Print_Area" localSheetId="1">'BUILDING ESTIMATE'!$A$1:$L$1533</definedName>
    <definedName name="_xlnm.Print_Area" localSheetId="5">'ELEC &amp; PLUMB &amp; HVAC'!$A$1:$L$529</definedName>
    <definedName name="_xlnm.Print_Area" localSheetId="3">'LUMBER ORDER LIST'!$A$1:$J$390</definedName>
    <definedName name="_xlnm.Print_Area" localSheetId="6">'SITE WORKS'!$A$1:$L$656</definedName>
    <definedName name="_xlnm.Print_Area" localSheetId="0">SUMMARY!$A$1:$F$78</definedName>
    <definedName name="_xlnm.Print_Area" localSheetId="4">TRUSSES!$A$1:$J$38</definedName>
    <definedName name="Print_Area_MI" localSheetId="5">#REF!</definedName>
    <definedName name="Print_Area_MI" localSheetId="3">#REF!</definedName>
    <definedName name="Print_Area_MI" localSheetId="4">#REF!</definedName>
    <definedName name="Print_Area_MI">#REF!</definedName>
    <definedName name="_xlnm.Print_Titles" localSheetId="2">'BUILDING CONCRETE'!$1:$6</definedName>
    <definedName name="_xlnm.Print_Titles" localSheetId="1">'BUILDING ESTIMATE'!$1:$6</definedName>
    <definedName name="_xlnm.Print_Titles" localSheetId="5">'ELEC &amp; PLUMB &amp; HVAC'!$1:$6</definedName>
    <definedName name="_xlnm.Print_Titles" localSheetId="3">'LUMBER ORDER LIST'!$1:$6</definedName>
    <definedName name="_xlnm.Print_Titles" localSheetId="6">'SITE WORKS'!$1:$6</definedName>
    <definedName name="_xlnm.Print_Titles" localSheetId="4">TRUSSES!$1:$6</definedName>
    <definedName name="PT_Wire" localSheetId="5">#REF!</definedName>
    <definedName name="PT_Wire">#REF!</definedName>
    <definedName name="PT_Wire_Labor" localSheetId="5">#REF!</definedName>
    <definedName name="PT_Wire_Labor">#REF!</definedName>
    <definedName name="Pumps" localSheetId="5">#REF!</definedName>
    <definedName name="Pumps">#REF!</definedName>
    <definedName name="PVC_Bulb_WS" localSheetId="5">#REF!</definedName>
    <definedName name="PVC_Bulb_WS">#REF!</definedName>
    <definedName name="Ramp_Labor" localSheetId="5">#REF!</definedName>
    <definedName name="Ramp_Labor">#REF!</definedName>
    <definedName name="Rebar_Cost" localSheetId="5">#REF!</definedName>
    <definedName name="Rebar_Cost">#REF!</definedName>
    <definedName name="Rebar_Labor" localSheetId="5">#REF!</definedName>
    <definedName name="Rebar_Labor">#REF!</definedName>
    <definedName name="Rebar_per_ton" localSheetId="5">#REF!</definedName>
    <definedName name="Rebar_per_ton">#REF!</definedName>
    <definedName name="Rebar_Tons" localSheetId="5">#REF!</definedName>
    <definedName name="Rebar_Tons">#REF!</definedName>
    <definedName name="ROOF" localSheetId="5">#REF!</definedName>
    <definedName name="ROOF" localSheetId="3">#REF!</definedName>
    <definedName name="ROOF" localSheetId="4">#REF!</definedName>
    <definedName name="ROOF">#REF!</definedName>
    <definedName name="Sidewalk_Labor" localSheetId="5">#REF!</definedName>
    <definedName name="Sidewalk_Labor">#REF!</definedName>
    <definedName name="SM" localSheetId="5">#REF!</definedName>
    <definedName name="SM" localSheetId="3">#REF!</definedName>
    <definedName name="SM" localSheetId="4">#REF!</definedName>
    <definedName name="SM">#REF!</definedName>
    <definedName name="SOD_SF" localSheetId="5">#REF!</definedName>
    <definedName name="SOD_SF">#REF!</definedName>
    <definedName name="SOG_SF" localSheetId="5">#REF!</definedName>
    <definedName name="SOG_SF">#REF!</definedName>
    <definedName name="SPRINKLER" localSheetId="5">#REF!</definedName>
    <definedName name="SPRINKLER" localSheetId="3">#REF!</definedName>
    <definedName name="SPRINKLER" localSheetId="4">#REF!</definedName>
    <definedName name="SPRINKLER">#REF!</definedName>
    <definedName name="Tax" localSheetId="5">#REF!</definedName>
    <definedName name="Tax">#REF!</definedName>
    <definedName name="TD_LF" localSheetId="5">#REF!</definedName>
    <definedName name="TD_LF">#REF!</definedName>
    <definedName name="TD_Wall" localSheetId="5">#REF!</definedName>
    <definedName name="TD_Wall">#REF!</definedName>
    <definedName name="Tons_per_CY" localSheetId="5">#REF!</definedName>
    <definedName name="Tons_per_CY">#REF!</definedName>
    <definedName name="Trench_Footing_CY" localSheetId="5">#REF!</definedName>
    <definedName name="Trench_Footing_CY">#REF!</definedName>
    <definedName name="Trench_Footing_LF" localSheetId="5">#REF!</definedName>
    <definedName name="Trench_Footing_LF">#REF!</definedName>
    <definedName name="TS_LF" localSheetId="5">#REF!</definedName>
    <definedName name="TS_LF">#REF!</definedName>
    <definedName name="Wall_Forming_CSF" localSheetId="5">#REF!</definedName>
    <definedName name="Wall_Forming_CSF">#REF!</definedName>
    <definedName name="Wall_Forms" localSheetId="5">#REF!</definedName>
    <definedName name="Wall_Forms">#REF!</definedName>
  </definedNames>
  <calcPr calcId="152511"/>
</workbook>
</file>

<file path=xl/calcChain.xml><?xml version="1.0" encoding="utf-8"?>
<calcChain xmlns="http://schemas.openxmlformats.org/spreadsheetml/2006/main">
  <c r="J174" i="22" l="1"/>
  <c r="J221" i="22"/>
  <c r="J171" i="22"/>
  <c r="J217" i="22"/>
  <c r="J218" i="22"/>
  <c r="J213" i="22"/>
  <c r="A527" i="22" l="1"/>
  <c r="A526" i="22"/>
  <c r="A525" i="22"/>
  <c r="H524" i="22"/>
  <c r="K524" i="22" s="1"/>
  <c r="A523" i="22"/>
  <c r="A522" i="22"/>
  <c r="J521" i="22"/>
  <c r="H521" i="22"/>
  <c r="J520" i="22"/>
  <c r="H520" i="22"/>
  <c r="J519" i="22"/>
  <c r="H519" i="22"/>
  <c r="J518" i="22"/>
  <c r="H518" i="22"/>
  <c r="H517" i="22"/>
  <c r="K517" i="22" s="1"/>
  <c r="J516" i="22"/>
  <c r="H516" i="22"/>
  <c r="J515" i="22"/>
  <c r="H515" i="22"/>
  <c r="J514" i="22"/>
  <c r="H514" i="22"/>
  <c r="J513" i="22"/>
  <c r="H513" i="22"/>
  <c r="H512" i="22"/>
  <c r="K512" i="22" s="1"/>
  <c r="J511" i="22"/>
  <c r="H511" i="22"/>
  <c r="J510" i="22"/>
  <c r="H510" i="22"/>
  <c r="J509" i="22"/>
  <c r="H509" i="22"/>
  <c r="J508" i="22"/>
  <c r="H508" i="22"/>
  <c r="H507" i="22"/>
  <c r="K507" i="22" s="1"/>
  <c r="J506" i="22"/>
  <c r="H506" i="22"/>
  <c r="J505" i="22"/>
  <c r="H505" i="22"/>
  <c r="J504" i="22"/>
  <c r="H504" i="22"/>
  <c r="F504" i="22"/>
  <c r="J503" i="22"/>
  <c r="H503" i="22"/>
  <c r="H502" i="22"/>
  <c r="K502" i="22" s="1"/>
  <c r="J501" i="22"/>
  <c r="H501" i="22"/>
  <c r="J500" i="22"/>
  <c r="H500" i="22"/>
  <c r="J499" i="22"/>
  <c r="H499" i="22"/>
  <c r="J498" i="22"/>
  <c r="H498" i="22"/>
  <c r="H497" i="22"/>
  <c r="K497" i="22" s="1"/>
  <c r="J496" i="22"/>
  <c r="H496" i="22"/>
  <c r="J495" i="22"/>
  <c r="H495" i="22"/>
  <c r="J494" i="22"/>
  <c r="H494" i="22"/>
  <c r="J493" i="22"/>
  <c r="H493" i="22"/>
  <c r="H492" i="22"/>
  <c r="K492" i="22" s="1"/>
  <c r="J491" i="22"/>
  <c r="H491" i="22"/>
  <c r="J490" i="22"/>
  <c r="H490" i="22"/>
  <c r="J489" i="22"/>
  <c r="H489" i="22"/>
  <c r="F489" i="22"/>
  <c r="J488" i="22"/>
  <c r="H488" i="22"/>
  <c r="H487" i="22"/>
  <c r="K487" i="22" s="1"/>
  <c r="J486" i="22"/>
  <c r="H486" i="22"/>
  <c r="J485" i="22"/>
  <c r="H485" i="22"/>
  <c r="J484" i="22"/>
  <c r="H484" i="22"/>
  <c r="J483" i="22"/>
  <c r="H483" i="22"/>
  <c r="H482" i="22"/>
  <c r="K482" i="22" s="1"/>
  <c r="J481" i="22"/>
  <c r="H481" i="22"/>
  <c r="J480" i="22"/>
  <c r="H480" i="22"/>
  <c r="J479" i="22"/>
  <c r="H479" i="22"/>
  <c r="J478" i="22"/>
  <c r="H478" i="22"/>
  <c r="H477" i="22"/>
  <c r="K477" i="22" s="1"/>
  <c r="J476" i="22"/>
  <c r="H476" i="22"/>
  <c r="J475" i="22"/>
  <c r="H475" i="22"/>
  <c r="J474" i="22"/>
  <c r="H474" i="22"/>
  <c r="J473" i="22"/>
  <c r="H473" i="22"/>
  <c r="H472" i="22"/>
  <c r="K472" i="22" s="1"/>
  <c r="J471" i="22"/>
  <c r="H471" i="22"/>
  <c r="H470" i="22"/>
  <c r="K470" i="22" s="1"/>
  <c r="H469" i="22"/>
  <c r="K469" i="22" s="1"/>
  <c r="H468" i="22"/>
  <c r="K468" i="22" s="1"/>
  <c r="H467" i="22"/>
  <c r="K467" i="22" s="1"/>
  <c r="H466" i="22"/>
  <c r="K466" i="22" s="1"/>
  <c r="H465" i="22"/>
  <c r="K465" i="22" s="1"/>
  <c r="J464" i="22"/>
  <c r="H464" i="22"/>
  <c r="H463" i="22"/>
  <c r="K463" i="22" s="1"/>
  <c r="J462" i="22"/>
  <c r="H462" i="22"/>
  <c r="H461" i="22"/>
  <c r="K461" i="22" s="1"/>
  <c r="H460" i="22"/>
  <c r="K460" i="22" s="1"/>
  <c r="H459" i="22"/>
  <c r="K459" i="22" s="1"/>
  <c r="J458" i="22"/>
  <c r="H458" i="22"/>
  <c r="H457" i="22"/>
  <c r="K457" i="22" s="1"/>
  <c r="J456" i="22"/>
  <c r="H456" i="22"/>
  <c r="K456" i="22" s="1"/>
  <c r="H455" i="22"/>
  <c r="K455" i="22" s="1"/>
  <c r="J454" i="22"/>
  <c r="H454" i="22"/>
  <c r="H453" i="22"/>
  <c r="K453" i="22" s="1"/>
  <c r="J452" i="22"/>
  <c r="H452" i="22"/>
  <c r="J451" i="22"/>
  <c r="H451" i="22"/>
  <c r="H450" i="22"/>
  <c r="K450" i="22" s="1"/>
  <c r="H449" i="22"/>
  <c r="K449" i="22" s="1"/>
  <c r="H448" i="22"/>
  <c r="K448" i="22" s="1"/>
  <c r="H447" i="22"/>
  <c r="K447" i="22" s="1"/>
  <c r="H446" i="22"/>
  <c r="K446" i="22" s="1"/>
  <c r="H445" i="22"/>
  <c r="H444" i="22"/>
  <c r="K444" i="22" s="1"/>
  <c r="H443" i="22"/>
  <c r="K443" i="22" s="1"/>
  <c r="H442" i="22"/>
  <c r="K442" i="22" s="1"/>
  <c r="H441" i="22"/>
  <c r="K441" i="22" s="1"/>
  <c r="H440" i="22"/>
  <c r="K440" i="22" s="1"/>
  <c r="A439" i="22"/>
  <c r="A438" i="22"/>
  <c r="H437" i="22"/>
  <c r="K437" i="22" s="1"/>
  <c r="H436" i="22"/>
  <c r="K436" i="22" s="1"/>
  <c r="H435" i="22"/>
  <c r="K435" i="22" s="1"/>
  <c r="H434" i="22"/>
  <c r="K434" i="22" s="1"/>
  <c r="H433" i="22"/>
  <c r="K433" i="22" s="1"/>
  <c r="H432" i="22"/>
  <c r="K432" i="22" s="1"/>
  <c r="H431" i="22"/>
  <c r="K431" i="22" s="1"/>
  <c r="H430" i="22"/>
  <c r="K430" i="22" s="1"/>
  <c r="H429" i="22"/>
  <c r="K429" i="22" s="1"/>
  <c r="H428" i="22"/>
  <c r="K428" i="22" s="1"/>
  <c r="H427" i="22"/>
  <c r="K427" i="22" s="1"/>
  <c r="H426" i="22"/>
  <c r="K426" i="22" s="1"/>
  <c r="H425" i="22"/>
  <c r="K425" i="22" s="1"/>
  <c r="H424" i="22"/>
  <c r="K424" i="22" s="1"/>
  <c r="H423" i="22"/>
  <c r="K423" i="22" s="1"/>
  <c r="H422" i="22"/>
  <c r="K422" i="22" s="1"/>
  <c r="H421" i="22"/>
  <c r="K421" i="22" s="1"/>
  <c r="H420" i="22"/>
  <c r="K420" i="22" s="1"/>
  <c r="H419" i="22"/>
  <c r="K419" i="22" s="1"/>
  <c r="H418" i="22"/>
  <c r="K418" i="22" s="1"/>
  <c r="H417" i="22"/>
  <c r="K417" i="22" s="1"/>
  <c r="H416" i="22"/>
  <c r="K416" i="22" s="1"/>
  <c r="H415" i="22"/>
  <c r="K415" i="22" s="1"/>
  <c r="H414" i="22"/>
  <c r="K414" i="22" s="1"/>
  <c r="H413" i="22"/>
  <c r="K413" i="22" s="1"/>
  <c r="H412" i="22"/>
  <c r="K412" i="22" s="1"/>
  <c r="H411" i="22"/>
  <c r="K411" i="22" s="1"/>
  <c r="H410" i="22"/>
  <c r="K410" i="22" s="1"/>
  <c r="H409" i="22"/>
  <c r="K409" i="22" s="1"/>
  <c r="H408" i="22"/>
  <c r="K408" i="22" s="1"/>
  <c r="H407" i="22"/>
  <c r="K407" i="22" s="1"/>
  <c r="H406" i="22"/>
  <c r="K406" i="22" s="1"/>
  <c r="H405" i="22"/>
  <c r="K405" i="22" s="1"/>
  <c r="H404" i="22"/>
  <c r="K404" i="22" s="1"/>
  <c r="H403" i="22"/>
  <c r="K403" i="22" s="1"/>
  <c r="H402" i="22"/>
  <c r="K402" i="22" s="1"/>
  <c r="H401" i="22"/>
  <c r="K401" i="22" s="1"/>
  <c r="H400" i="22"/>
  <c r="K400" i="22" s="1"/>
  <c r="H399" i="22"/>
  <c r="K399" i="22" s="1"/>
  <c r="H398" i="22"/>
  <c r="K398" i="22" s="1"/>
  <c r="H397" i="22"/>
  <c r="K397" i="22" s="1"/>
  <c r="A396" i="22"/>
  <c r="A395" i="22"/>
  <c r="H394" i="22"/>
  <c r="K394" i="22" s="1"/>
  <c r="F394" i="22"/>
  <c r="H393" i="22"/>
  <c r="K393" i="22" s="1"/>
  <c r="F393" i="22"/>
  <c r="H392" i="22"/>
  <c r="K392" i="22" s="1"/>
  <c r="H391" i="22"/>
  <c r="K391" i="22" s="1"/>
  <c r="H390" i="22"/>
  <c r="K390" i="22" s="1"/>
  <c r="H389" i="22"/>
  <c r="K389" i="22" s="1"/>
  <c r="H388" i="22"/>
  <c r="K388" i="22" s="1"/>
  <c r="H387" i="22"/>
  <c r="K387" i="22" s="1"/>
  <c r="H386" i="22"/>
  <c r="K386" i="22" s="1"/>
  <c r="H385" i="22"/>
  <c r="K385" i="22" s="1"/>
  <c r="H384" i="22"/>
  <c r="K384" i="22" s="1"/>
  <c r="H383" i="22"/>
  <c r="K383" i="22" s="1"/>
  <c r="H382" i="22"/>
  <c r="K382" i="22" s="1"/>
  <c r="H381" i="22"/>
  <c r="K381" i="22" s="1"/>
  <c r="H380" i="22"/>
  <c r="K380" i="22" s="1"/>
  <c r="H379" i="22"/>
  <c r="K379" i="22" s="1"/>
  <c r="H378" i="22"/>
  <c r="K378" i="22" s="1"/>
  <c r="H377" i="22"/>
  <c r="K377" i="22" s="1"/>
  <c r="H376" i="22"/>
  <c r="K376" i="22" s="1"/>
  <c r="H375" i="22"/>
  <c r="K375" i="22" s="1"/>
  <c r="H374" i="22"/>
  <c r="K374" i="22" s="1"/>
  <c r="H373" i="22"/>
  <c r="K373" i="22" s="1"/>
  <c r="H372" i="22"/>
  <c r="K372" i="22" s="1"/>
  <c r="H371" i="22"/>
  <c r="K371" i="22" s="1"/>
  <c r="H370" i="22"/>
  <c r="K370" i="22" s="1"/>
  <c r="H369" i="22"/>
  <c r="K369" i="22" s="1"/>
  <c r="H368" i="22"/>
  <c r="K368" i="22" s="1"/>
  <c r="H367" i="22"/>
  <c r="K367" i="22" s="1"/>
  <c r="H366" i="22"/>
  <c r="K366" i="22" s="1"/>
  <c r="H365" i="22"/>
  <c r="K365" i="22" s="1"/>
  <c r="A364" i="22"/>
  <c r="A363" i="22"/>
  <c r="A362" i="22"/>
  <c r="A361" i="22"/>
  <c r="A360" i="22"/>
  <c r="H359" i="22"/>
  <c r="K359" i="22" s="1"/>
  <c r="A358" i="22"/>
  <c r="A357" i="22"/>
  <c r="H356" i="22"/>
  <c r="K356" i="22" s="1"/>
  <c r="H355" i="22"/>
  <c r="K355" i="22" s="1"/>
  <c r="H354" i="22"/>
  <c r="K354" i="22" s="1"/>
  <c r="H353" i="22"/>
  <c r="K353" i="22" s="1"/>
  <c r="H352" i="22"/>
  <c r="K352" i="22" s="1"/>
  <c r="H351" i="22"/>
  <c r="K351" i="22" s="1"/>
  <c r="H350" i="22"/>
  <c r="K350" i="22" s="1"/>
  <c r="H349" i="22"/>
  <c r="K349" i="22" s="1"/>
  <c r="H348" i="22"/>
  <c r="K348" i="22" s="1"/>
  <c r="H347" i="22"/>
  <c r="K347" i="22" s="1"/>
  <c r="H346" i="22"/>
  <c r="K346" i="22" s="1"/>
  <c r="H345" i="22"/>
  <c r="H344" i="22"/>
  <c r="H343" i="22"/>
  <c r="H342" i="22"/>
  <c r="H341" i="22"/>
  <c r="K341" i="22" s="1"/>
  <c r="H340" i="22"/>
  <c r="K340" i="22" s="1"/>
  <c r="H339" i="22"/>
  <c r="K339" i="22" s="1"/>
  <c r="H338" i="22"/>
  <c r="K338" i="22" s="1"/>
  <c r="H337" i="22"/>
  <c r="K337" i="22" s="1"/>
  <c r="H336" i="22"/>
  <c r="K336" i="22" s="1"/>
  <c r="H335" i="22"/>
  <c r="K335" i="22" s="1"/>
  <c r="H334" i="22"/>
  <c r="K334" i="22" s="1"/>
  <c r="H333" i="22"/>
  <c r="K333" i="22" s="1"/>
  <c r="H332" i="22"/>
  <c r="K332" i="22" s="1"/>
  <c r="H331" i="22"/>
  <c r="K331" i="22" s="1"/>
  <c r="H330" i="22"/>
  <c r="K330" i="22" s="1"/>
  <c r="H329" i="22"/>
  <c r="K329" i="22" s="1"/>
  <c r="H328" i="22"/>
  <c r="K328" i="22" s="1"/>
  <c r="H327" i="22"/>
  <c r="K327" i="22" s="1"/>
  <c r="H326" i="22"/>
  <c r="K326" i="22" s="1"/>
  <c r="H325" i="22"/>
  <c r="K325" i="22" s="1"/>
  <c r="H324" i="22"/>
  <c r="K324" i="22" s="1"/>
  <c r="H323" i="22"/>
  <c r="K323" i="22" s="1"/>
  <c r="H322" i="22"/>
  <c r="K322" i="22" s="1"/>
  <c r="H321" i="22"/>
  <c r="K321" i="22" s="1"/>
  <c r="H320" i="22"/>
  <c r="K320" i="22" s="1"/>
  <c r="H319" i="22"/>
  <c r="K319" i="22" s="1"/>
  <c r="H318" i="22"/>
  <c r="K318" i="22" s="1"/>
  <c r="H317" i="22"/>
  <c r="K317" i="22" s="1"/>
  <c r="H316" i="22"/>
  <c r="K316" i="22" s="1"/>
  <c r="H315" i="22"/>
  <c r="K315" i="22" s="1"/>
  <c r="H314" i="22"/>
  <c r="K314" i="22" s="1"/>
  <c r="H313" i="22"/>
  <c r="K313" i="22" s="1"/>
  <c r="H312" i="22"/>
  <c r="K312" i="22" s="1"/>
  <c r="H311" i="22"/>
  <c r="K311" i="22" s="1"/>
  <c r="H310" i="22"/>
  <c r="K310" i="22" s="1"/>
  <c r="H309" i="22"/>
  <c r="K309" i="22" s="1"/>
  <c r="H308" i="22"/>
  <c r="K308" i="22" s="1"/>
  <c r="H307" i="22"/>
  <c r="K307" i="22" s="1"/>
  <c r="H306" i="22"/>
  <c r="K306" i="22" s="1"/>
  <c r="H305" i="22"/>
  <c r="K305" i="22" s="1"/>
  <c r="H304" i="22"/>
  <c r="K304" i="22" s="1"/>
  <c r="H303" i="22"/>
  <c r="K303" i="22" s="1"/>
  <c r="H302" i="22"/>
  <c r="K302" i="22" s="1"/>
  <c r="A301" i="22"/>
  <c r="A300" i="22"/>
  <c r="H299" i="22"/>
  <c r="K299" i="22" s="1"/>
  <c r="A298" i="22"/>
  <c r="A297" i="22"/>
  <c r="H296" i="22"/>
  <c r="K296" i="22" s="1"/>
  <c r="F296" i="22"/>
  <c r="A295" i="22"/>
  <c r="J294" i="22"/>
  <c r="H294" i="22"/>
  <c r="H293" i="22"/>
  <c r="K293" i="22" s="1"/>
  <c r="J292" i="22"/>
  <c r="H292" i="22"/>
  <c r="H291" i="22"/>
  <c r="K291" i="22" s="1"/>
  <c r="J290" i="22"/>
  <c r="H290" i="22"/>
  <c r="A289" i="22"/>
  <c r="J288" i="22"/>
  <c r="H288" i="22"/>
  <c r="J287" i="22"/>
  <c r="H287" i="22"/>
  <c r="J286" i="22"/>
  <c r="F286" i="22"/>
  <c r="J285" i="22"/>
  <c r="H285" i="22"/>
  <c r="F285" i="22"/>
  <c r="A284" i="22"/>
  <c r="A283" i="22"/>
  <c r="H282" i="22"/>
  <c r="K282" i="22" s="1"/>
  <c r="H281" i="22"/>
  <c r="K281" i="22" s="1"/>
  <c r="H280" i="22"/>
  <c r="K280" i="22" s="1"/>
  <c r="H279" i="22"/>
  <c r="K279" i="22" s="1"/>
  <c r="H278" i="22"/>
  <c r="K278" i="22" s="1"/>
  <c r="H277" i="22"/>
  <c r="K277" i="22" s="1"/>
  <c r="H276" i="22"/>
  <c r="K276" i="22" s="1"/>
  <c r="J275" i="22"/>
  <c r="H275" i="22"/>
  <c r="H274" i="22"/>
  <c r="K274" i="22" s="1"/>
  <c r="A273" i="22"/>
  <c r="H272" i="22"/>
  <c r="K272" i="22" s="1"/>
  <c r="H271" i="22"/>
  <c r="K271" i="22" s="1"/>
  <c r="H270" i="22"/>
  <c r="K270" i="22" s="1"/>
  <c r="A269" i="22"/>
  <c r="H268" i="22"/>
  <c r="K268" i="22" s="1"/>
  <c r="H267" i="22"/>
  <c r="K267" i="22" s="1"/>
  <c r="H266" i="22"/>
  <c r="K266" i="22" s="1"/>
  <c r="H265" i="22"/>
  <c r="K265" i="22" s="1"/>
  <c r="A264" i="22"/>
  <c r="A263" i="22"/>
  <c r="A262" i="22"/>
  <c r="A261" i="22"/>
  <c r="A260" i="22"/>
  <c r="A259" i="22"/>
  <c r="A258" i="22"/>
  <c r="H257" i="22"/>
  <c r="K257" i="22" s="1"/>
  <c r="A256" i="22"/>
  <c r="A255" i="22"/>
  <c r="H254" i="22"/>
  <c r="K254" i="22" s="1"/>
  <c r="H253" i="22"/>
  <c r="K253" i="22" s="1"/>
  <c r="H252" i="22"/>
  <c r="K252" i="22" s="1"/>
  <c r="H251" i="22"/>
  <c r="K251" i="22" s="1"/>
  <c r="H250" i="22"/>
  <c r="K250" i="22" s="1"/>
  <c r="H249" i="22"/>
  <c r="K249" i="22" s="1"/>
  <c r="H248" i="22"/>
  <c r="K248" i="22" s="1"/>
  <c r="A247" i="22"/>
  <c r="A246" i="22"/>
  <c r="J245" i="22"/>
  <c r="H245" i="22"/>
  <c r="J244" i="22"/>
  <c r="H244" i="22"/>
  <c r="J243" i="22"/>
  <c r="H243" i="22"/>
  <c r="A242" i="22"/>
  <c r="A241" i="22"/>
  <c r="H240" i="22"/>
  <c r="K240" i="22" s="1"/>
  <c r="H239" i="22"/>
  <c r="K239" i="22" s="1"/>
  <c r="H238" i="22"/>
  <c r="K238" i="22" s="1"/>
  <c r="H237" i="22"/>
  <c r="K237" i="22" s="1"/>
  <c r="H236" i="22"/>
  <c r="K236" i="22" s="1"/>
  <c r="A235" i="22"/>
  <c r="A234" i="22"/>
  <c r="A233" i="22"/>
  <c r="A232" i="22"/>
  <c r="H231" i="22"/>
  <c r="K231" i="22" s="1"/>
  <c r="H230" i="22"/>
  <c r="K230" i="22" s="1"/>
  <c r="H229" i="22"/>
  <c r="K229" i="22" s="1"/>
  <c r="H228" i="22"/>
  <c r="K228" i="22" s="1"/>
  <c r="H227" i="22"/>
  <c r="K227" i="22" s="1"/>
  <c r="H226" i="22"/>
  <c r="K226" i="22" s="1"/>
  <c r="H225" i="22"/>
  <c r="K225" i="22" s="1"/>
  <c r="H224" i="22"/>
  <c r="K224" i="22" s="1"/>
  <c r="H223" i="22"/>
  <c r="K223" i="22" s="1"/>
  <c r="H222" i="22"/>
  <c r="K222" i="22" s="1"/>
  <c r="H221" i="22"/>
  <c r="K221" i="22" s="1"/>
  <c r="H220" i="22"/>
  <c r="K220" i="22" s="1"/>
  <c r="H219" i="22"/>
  <c r="K219" i="22" s="1"/>
  <c r="H218" i="22"/>
  <c r="K218" i="22" s="1"/>
  <c r="H217" i="22"/>
  <c r="K217" i="22" s="1"/>
  <c r="H216" i="22"/>
  <c r="K216" i="22" s="1"/>
  <c r="H215" i="22"/>
  <c r="K215" i="22" s="1"/>
  <c r="H214" i="22"/>
  <c r="K214" i="22" s="1"/>
  <c r="H213" i="22"/>
  <c r="K213" i="22" s="1"/>
  <c r="H212" i="22"/>
  <c r="K212" i="22" s="1"/>
  <c r="H211" i="22"/>
  <c r="K211" i="22" s="1"/>
  <c r="H210" i="22"/>
  <c r="K210" i="22" s="1"/>
  <c r="A209" i="22"/>
  <c r="A208" i="22"/>
  <c r="J207" i="22"/>
  <c r="H207" i="22"/>
  <c r="J206" i="22"/>
  <c r="H206" i="22"/>
  <c r="J205" i="22"/>
  <c r="H205" i="22"/>
  <c r="A204" i="22"/>
  <c r="J203" i="22"/>
  <c r="H203" i="22"/>
  <c r="F203" i="22"/>
  <c r="J202" i="22"/>
  <c r="H202" i="22"/>
  <c r="F202" i="22"/>
  <c r="A201" i="22"/>
  <c r="A200" i="22"/>
  <c r="H199" i="22"/>
  <c r="K199" i="22" s="1"/>
  <c r="J198" i="22"/>
  <c r="H198" i="22"/>
  <c r="J197" i="22"/>
  <c r="H197" i="22"/>
  <c r="J196" i="22"/>
  <c r="H196" i="22"/>
  <c r="A195" i="22"/>
  <c r="J194" i="22"/>
  <c r="H194" i="22"/>
  <c r="J193" i="22"/>
  <c r="H193" i="22"/>
  <c r="J192" i="22"/>
  <c r="H192" i="22"/>
  <c r="A191" i="22"/>
  <c r="A190" i="22"/>
  <c r="A189" i="22"/>
  <c r="A188" i="22"/>
  <c r="H187" i="22"/>
  <c r="K187" i="22" s="1"/>
  <c r="H186" i="22"/>
  <c r="K186" i="22" s="1"/>
  <c r="H185" i="22"/>
  <c r="K185" i="22" s="1"/>
  <c r="H184" i="22"/>
  <c r="K184" i="22" s="1"/>
  <c r="H183" i="22"/>
  <c r="K183" i="22" s="1"/>
  <c r="H182" i="22"/>
  <c r="K182" i="22" s="1"/>
  <c r="H181" i="22"/>
  <c r="K181" i="22" s="1"/>
  <c r="H180" i="22"/>
  <c r="K180" i="22" s="1"/>
  <c r="H179" i="22"/>
  <c r="K179" i="22" s="1"/>
  <c r="H178" i="22"/>
  <c r="K178" i="22" s="1"/>
  <c r="H177" i="22"/>
  <c r="K177" i="22" s="1"/>
  <c r="H176" i="22"/>
  <c r="K176" i="22" s="1"/>
  <c r="H175" i="22"/>
  <c r="K175" i="22" s="1"/>
  <c r="H174" i="22"/>
  <c r="K174" i="22" s="1"/>
  <c r="H173" i="22"/>
  <c r="K173" i="22" s="1"/>
  <c r="H172" i="22"/>
  <c r="K172" i="22" s="1"/>
  <c r="H171" i="22"/>
  <c r="K171" i="22" s="1"/>
  <c r="H170" i="22"/>
  <c r="K170" i="22" s="1"/>
  <c r="H169" i="22"/>
  <c r="K169" i="22" s="1"/>
  <c r="H168" i="22"/>
  <c r="K168" i="22" s="1"/>
  <c r="H167" i="22"/>
  <c r="K167" i="22" s="1"/>
  <c r="H166" i="22"/>
  <c r="K166" i="22" s="1"/>
  <c r="H165" i="22"/>
  <c r="K165" i="22" s="1"/>
  <c r="H164" i="22"/>
  <c r="K164" i="22" s="1"/>
  <c r="A163" i="22"/>
  <c r="A162" i="22"/>
  <c r="J161" i="22"/>
  <c r="H161" i="22"/>
  <c r="J160" i="22"/>
  <c r="H160" i="22"/>
  <c r="J159" i="22"/>
  <c r="H159" i="22"/>
  <c r="J158" i="22"/>
  <c r="H158" i="22"/>
  <c r="A157" i="22"/>
  <c r="J156" i="22"/>
  <c r="H156" i="22"/>
  <c r="J155" i="22"/>
  <c r="H155" i="22"/>
  <c r="J154" i="22"/>
  <c r="H154" i="22"/>
  <c r="J153" i="22"/>
  <c r="H153" i="22"/>
  <c r="A152" i="22"/>
  <c r="J151" i="22"/>
  <c r="H151" i="22"/>
  <c r="J150" i="22"/>
  <c r="H150" i="22"/>
  <c r="A149" i="22"/>
  <c r="J148" i="22"/>
  <c r="H148" i="22"/>
  <c r="A147" i="22"/>
  <c r="J146" i="22"/>
  <c r="H146" i="22"/>
  <c r="J145" i="22"/>
  <c r="H145" i="22"/>
  <c r="J144" i="22"/>
  <c r="H144" i="22"/>
  <c r="A143" i="22"/>
  <c r="J142" i="22"/>
  <c r="H142" i="22"/>
  <c r="J141" i="22"/>
  <c r="H141" i="22"/>
  <c r="J140" i="22"/>
  <c r="H140" i="22"/>
  <c r="A139" i="22"/>
  <c r="J138" i="22"/>
  <c r="H138" i="22"/>
  <c r="J137" i="22"/>
  <c r="H137" i="22"/>
  <c r="A136" i="22"/>
  <c r="A135" i="22"/>
  <c r="J134" i="22"/>
  <c r="H134" i="22"/>
  <c r="J133" i="22"/>
  <c r="H133" i="22"/>
  <c r="J132" i="22"/>
  <c r="H132" i="22"/>
  <c r="J131" i="22"/>
  <c r="H131" i="22"/>
  <c r="F131" i="22"/>
  <c r="A130" i="22"/>
  <c r="J129" i="22"/>
  <c r="H129" i="22"/>
  <c r="J128" i="22"/>
  <c r="H128" i="22"/>
  <c r="J127" i="22"/>
  <c r="F127" i="22"/>
  <c r="J126" i="22"/>
  <c r="H126" i="22"/>
  <c r="F126" i="22"/>
  <c r="A125" i="22"/>
  <c r="J124" i="22"/>
  <c r="H124" i="22"/>
  <c r="J123" i="22"/>
  <c r="H123" i="22"/>
  <c r="A122" i="22"/>
  <c r="F121" i="22"/>
  <c r="A120" i="22"/>
  <c r="J119" i="22"/>
  <c r="H119" i="22"/>
  <c r="A118" i="22"/>
  <c r="H117" i="22"/>
  <c r="K117" i="22" s="1"/>
  <c r="H116" i="22"/>
  <c r="K116" i="22" s="1"/>
  <c r="J115" i="22"/>
  <c r="H115" i="22"/>
  <c r="A114" i="22"/>
  <c r="H113" i="22"/>
  <c r="K113" i="22" s="1"/>
  <c r="H112" i="22"/>
  <c r="K112" i="22" s="1"/>
  <c r="A111" i="22"/>
  <c r="A110" i="22"/>
  <c r="A109" i="22"/>
  <c r="A108" i="22"/>
  <c r="H107" i="22"/>
  <c r="K107" i="22" s="1"/>
  <c r="H106" i="22"/>
  <c r="K106" i="22" s="1"/>
  <c r="H105" i="22"/>
  <c r="K105" i="22" s="1"/>
  <c r="H104" i="22"/>
  <c r="K104" i="22" s="1"/>
  <c r="H103" i="22"/>
  <c r="K103" i="22" s="1"/>
  <c r="H102" i="22"/>
  <c r="K102" i="22" s="1"/>
  <c r="H101" i="22"/>
  <c r="K101" i="22" s="1"/>
  <c r="H100" i="22"/>
  <c r="K100" i="22" s="1"/>
  <c r="H99" i="22"/>
  <c r="K99" i="22" s="1"/>
  <c r="H98" i="22"/>
  <c r="K98" i="22" s="1"/>
  <c r="H97" i="22"/>
  <c r="K97" i="22" s="1"/>
  <c r="H96" i="22"/>
  <c r="K96" i="22" s="1"/>
  <c r="H95" i="22"/>
  <c r="K95" i="22" s="1"/>
  <c r="H94" i="22"/>
  <c r="K94" i="22" s="1"/>
  <c r="H93" i="22"/>
  <c r="K93" i="22" s="1"/>
  <c r="H92" i="22"/>
  <c r="K92" i="22" s="1"/>
  <c r="H91" i="22"/>
  <c r="K91" i="22" s="1"/>
  <c r="H90" i="22"/>
  <c r="K90" i="22" s="1"/>
  <c r="H89" i="22"/>
  <c r="K89" i="22" s="1"/>
  <c r="H88" i="22"/>
  <c r="K88" i="22" s="1"/>
  <c r="H87" i="22"/>
  <c r="K87" i="22" s="1"/>
  <c r="H86" i="22"/>
  <c r="K86" i="22" s="1"/>
  <c r="H85" i="22"/>
  <c r="K85" i="22" s="1"/>
  <c r="H84" i="22"/>
  <c r="K84" i="22" s="1"/>
  <c r="H83" i="22"/>
  <c r="K83" i="22" s="1"/>
  <c r="H82" i="22"/>
  <c r="K82" i="22" s="1"/>
  <c r="H81" i="22"/>
  <c r="K81" i="22" s="1"/>
  <c r="H80" i="22"/>
  <c r="K80" i="22" s="1"/>
  <c r="H79" i="22"/>
  <c r="K79" i="22" s="1"/>
  <c r="H78" i="22"/>
  <c r="K78" i="22" s="1"/>
  <c r="H77" i="22"/>
  <c r="K77" i="22" s="1"/>
  <c r="H76" i="22"/>
  <c r="K76" i="22" s="1"/>
  <c r="H75" i="22"/>
  <c r="K75" i="22" s="1"/>
  <c r="H74" i="22"/>
  <c r="K74" i="22" s="1"/>
  <c r="H73" i="22"/>
  <c r="K73" i="22" s="1"/>
  <c r="H72" i="22"/>
  <c r="K72" i="22" s="1"/>
  <c r="H71" i="22"/>
  <c r="K71" i="22" s="1"/>
  <c r="H70" i="22"/>
  <c r="K70" i="22" s="1"/>
  <c r="H69" i="22"/>
  <c r="K69" i="22" s="1"/>
  <c r="A68" i="22"/>
  <c r="A67" i="22"/>
  <c r="H66" i="22"/>
  <c r="K66" i="22" s="1"/>
  <c r="H65" i="22"/>
  <c r="K65" i="22" s="1"/>
  <c r="J64" i="22"/>
  <c r="H64" i="22"/>
  <c r="H63" i="22"/>
  <c r="K63" i="22" s="1"/>
  <c r="A62" i="22"/>
  <c r="A61" i="22"/>
  <c r="J60" i="22"/>
  <c r="H60" i="22"/>
  <c r="J59" i="22"/>
  <c r="H59" i="22"/>
  <c r="A58" i="22"/>
  <c r="J57" i="22"/>
  <c r="H57" i="22"/>
  <c r="J56" i="22"/>
  <c r="H56" i="22"/>
  <c r="A55" i="22"/>
  <c r="H54" i="22"/>
  <c r="J53" i="22"/>
  <c r="H53" i="22"/>
  <c r="J52" i="22"/>
  <c r="H52" i="22"/>
  <c r="J51" i="22"/>
  <c r="H51" i="22"/>
  <c r="J50" i="22"/>
  <c r="H50" i="22"/>
  <c r="J49" i="22"/>
  <c r="F49" i="22"/>
  <c r="H49" i="22" s="1"/>
  <c r="A48" i="22"/>
  <c r="H47" i="22"/>
  <c r="H46" i="22"/>
  <c r="J45" i="22"/>
  <c r="H45" i="22"/>
  <c r="J44" i="22"/>
  <c r="H44" i="22"/>
  <c r="J43" i="22"/>
  <c r="H43" i="22"/>
  <c r="J42" i="22"/>
  <c r="H42" i="22"/>
  <c r="J41" i="22"/>
  <c r="H41" i="22"/>
  <c r="J40" i="22"/>
  <c r="F40" i="22"/>
  <c r="H40" i="22" s="1"/>
  <c r="J39" i="22"/>
  <c r="H39" i="22"/>
  <c r="F39" i="22"/>
  <c r="A38" i="22"/>
  <c r="A37" i="22"/>
  <c r="J36" i="22"/>
  <c r="H36" i="22"/>
  <c r="J35" i="22"/>
  <c r="H35" i="22"/>
  <c r="A34" i="22"/>
  <c r="J33" i="22"/>
  <c r="H33" i="22"/>
  <c r="J32" i="22"/>
  <c r="H32" i="22"/>
  <c r="A31" i="22"/>
  <c r="J30" i="22"/>
  <c r="H30" i="22"/>
  <c r="J29" i="22"/>
  <c r="H29" i="22"/>
  <c r="J28" i="22"/>
  <c r="H28" i="22"/>
  <c r="J27" i="22"/>
  <c r="H27" i="22"/>
  <c r="J26" i="22"/>
  <c r="H26" i="22"/>
  <c r="F26" i="22"/>
  <c r="J25" i="22"/>
  <c r="H25" i="22"/>
  <c r="F25" i="22"/>
  <c r="J24" i="22"/>
  <c r="F24" i="22"/>
  <c r="H24" i="22" s="1"/>
  <c r="J23" i="22"/>
  <c r="H23" i="22"/>
  <c r="A22" i="22"/>
  <c r="H21" i="22"/>
  <c r="J46" i="22"/>
  <c r="H20" i="22"/>
  <c r="H19" i="22"/>
  <c r="K19" i="22" s="1"/>
  <c r="H18" i="22"/>
  <c r="K18" i="22" s="1"/>
  <c r="H17" i="22"/>
  <c r="K17" i="22" s="1"/>
  <c r="H16" i="22"/>
  <c r="K16" i="22" s="1"/>
  <c r="F15" i="22"/>
  <c r="F14" i="22"/>
  <c r="F13" i="22"/>
  <c r="H12" i="22"/>
  <c r="K12" i="22" s="1"/>
  <c r="F11" i="22"/>
  <c r="H11" i="22" s="1"/>
  <c r="K11" i="22" s="1"/>
  <c r="A10" i="22"/>
  <c r="A9" i="22"/>
  <c r="A8" i="22"/>
  <c r="A7" i="22"/>
  <c r="K471" i="22" l="1"/>
  <c r="K197" i="22"/>
  <c r="K27" i="22"/>
  <c r="K29" i="22"/>
  <c r="K36" i="22"/>
  <c r="K50" i="22"/>
  <c r="K52" i="22"/>
  <c r="K153" i="22"/>
  <c r="K244" i="22"/>
  <c r="K485" i="22"/>
  <c r="K513" i="22"/>
  <c r="K203" i="22"/>
  <c r="K46" i="22"/>
  <c r="K159" i="22"/>
  <c r="K516" i="22"/>
  <c r="K509" i="22"/>
  <c r="K515" i="22"/>
  <c r="K32" i="22"/>
  <c r="K43" i="22"/>
  <c r="K64" i="22"/>
  <c r="K131" i="22"/>
  <c r="K133" i="22"/>
  <c r="K192" i="22"/>
  <c r="K194" i="22"/>
  <c r="K493" i="22"/>
  <c r="K495" i="22"/>
  <c r="K501" i="22"/>
  <c r="K45" i="22"/>
  <c r="K151" i="22"/>
  <c r="K294" i="22"/>
  <c r="K500" i="22"/>
  <c r="K158" i="22"/>
  <c r="K343" i="22"/>
  <c r="K345" i="22"/>
  <c r="K451" i="22"/>
  <c r="K491" i="22"/>
  <c r="K144" i="22"/>
  <c r="K140" i="22"/>
  <c r="K150" i="22"/>
  <c r="K488" i="22"/>
  <c r="K494" i="22"/>
  <c r="K496" i="22"/>
  <c r="K498" i="22"/>
  <c r="K518" i="22"/>
  <c r="K23" i="22"/>
  <c r="K124" i="22"/>
  <c r="K57" i="22"/>
  <c r="K287" i="22"/>
  <c r="K292" i="22"/>
  <c r="K454" i="22"/>
  <c r="K490" i="22"/>
  <c r="K21" i="22"/>
  <c r="K26" i="22"/>
  <c r="K28" i="22"/>
  <c r="K30" i="22"/>
  <c r="K51" i="22"/>
  <c r="K53" i="22"/>
  <c r="K60" i="22"/>
  <c r="K141" i="22"/>
  <c r="K154" i="22"/>
  <c r="K156" i="22"/>
  <c r="K160" i="22"/>
  <c r="K202" i="22"/>
  <c r="K206" i="22"/>
  <c r="K243" i="22"/>
  <c r="K245" i="22"/>
  <c r="K288" i="22"/>
  <c r="K342" i="22"/>
  <c r="K344" i="22"/>
  <c r="K452" i="22"/>
  <c r="K458" i="22"/>
  <c r="K474" i="22"/>
  <c r="K476" i="22"/>
  <c r="K478" i="22"/>
  <c r="K484" i="22"/>
  <c r="K486" i="22"/>
  <c r="K504" i="22"/>
  <c r="K506" i="22"/>
  <c r="K519" i="22"/>
  <c r="K521" i="22"/>
  <c r="K24" i="22"/>
  <c r="K25" i="22"/>
  <c r="K33" i="22"/>
  <c r="K56" i="22"/>
  <c r="K126" i="22"/>
  <c r="K134" i="22"/>
  <c r="K196" i="22"/>
  <c r="K198" i="22"/>
  <c r="K275" i="22"/>
  <c r="K285" i="22"/>
  <c r="K499" i="22"/>
  <c r="K39" i="22"/>
  <c r="J54" i="22"/>
  <c r="K54" i="22" s="1"/>
  <c r="K123" i="22"/>
  <c r="K138" i="22"/>
  <c r="K142" i="22"/>
  <c r="K146" i="22"/>
  <c r="K155" i="22"/>
  <c r="K161" i="22"/>
  <c r="K205" i="22"/>
  <c r="K207" i="22"/>
  <c r="K462" i="22"/>
  <c r="K473" i="22"/>
  <c r="K475" i="22"/>
  <c r="K481" i="22"/>
  <c r="K505" i="22"/>
  <c r="K520" i="22"/>
  <c r="K129" i="22"/>
  <c r="K193" i="22"/>
  <c r="K128" i="22"/>
  <c r="K145" i="22"/>
  <c r="K132" i="22"/>
  <c r="K137" i="22"/>
  <c r="K115" i="22"/>
  <c r="H13" i="22"/>
  <c r="K13" i="22" s="1"/>
  <c r="H15" i="22"/>
  <c r="K15" i="22" s="1"/>
  <c r="K49" i="22"/>
  <c r="A11" i="22"/>
  <c r="H14" i="22"/>
  <c r="K14" i="22" s="1"/>
  <c r="K35" i="22"/>
  <c r="K41" i="22"/>
  <c r="K44" i="22"/>
  <c r="J47" i="22"/>
  <c r="K47" i="22" s="1"/>
  <c r="K20" i="22"/>
  <c r="K40" i="22"/>
  <c r="K59" i="22"/>
  <c r="K119" i="22"/>
  <c r="H127" i="22"/>
  <c r="K127" i="22" s="1"/>
  <c r="H286" i="22"/>
  <c r="K286" i="22" s="1"/>
  <c r="K290" i="22"/>
  <c r="H121" i="22"/>
  <c r="K121" i="22" s="1"/>
  <c r="K42" i="22"/>
  <c r="K148" i="22"/>
  <c r="K483" i="22"/>
  <c r="K508" i="22"/>
  <c r="K514" i="22"/>
  <c r="K464" i="22"/>
  <c r="K480" i="22"/>
  <c r="K489" i="22"/>
  <c r="K511" i="22"/>
  <c r="K445" i="22"/>
  <c r="K479" i="22"/>
  <c r="K503" i="22"/>
  <c r="K510" i="22"/>
  <c r="L259" i="22" l="1"/>
  <c r="L526" i="22"/>
  <c r="E53" i="13" s="1"/>
  <c r="L361" i="22"/>
  <c r="E52" i="13" s="1"/>
  <c r="A12" i="22"/>
  <c r="K528" i="22"/>
  <c r="K529" i="22" s="1"/>
  <c r="L528" i="22" l="1"/>
  <c r="L529" i="22" s="1"/>
  <c r="C5" i="22" s="1"/>
  <c r="E51" i="13"/>
  <c r="A13" i="22"/>
  <c r="A14" i="22" l="1"/>
  <c r="A15" i="22" l="1"/>
  <c r="A16" i="22" l="1"/>
  <c r="A17" i="22" l="1"/>
  <c r="A18" i="22" s="1"/>
  <c r="A19" i="22" s="1"/>
  <c r="A20" i="22" s="1"/>
  <c r="A21" i="22" s="1"/>
  <c r="A23" i="22" s="1"/>
  <c r="A24" i="22" s="1"/>
  <c r="A25" i="22" s="1"/>
  <c r="A26" i="22" s="1"/>
  <c r="A27" i="22" s="1"/>
  <c r="A28" i="22" s="1"/>
  <c r="A29" i="22" s="1"/>
  <c r="A30" i="22" s="1"/>
  <c r="A32" i="22" s="1"/>
  <c r="A33" i="22" s="1"/>
  <c r="A35" i="22" s="1"/>
  <c r="A36" i="22" s="1"/>
  <c r="A39" i="22" s="1"/>
  <c r="A40" i="22" s="1"/>
  <c r="A41" i="22" s="1"/>
  <c r="A42" i="22" s="1"/>
  <c r="A43" i="22" s="1"/>
  <c r="A44" i="22" s="1"/>
  <c r="A45" i="22" s="1"/>
  <c r="A46" i="22" s="1"/>
  <c r="A47" i="22" s="1"/>
  <c r="A49" i="22" s="1"/>
  <c r="A50" i="22" s="1"/>
  <c r="A51" i="22" s="1"/>
  <c r="A52" i="22" s="1"/>
  <c r="A53" i="22" s="1"/>
  <c r="A54" i="22" s="1"/>
  <c r="A56" i="22" s="1"/>
  <c r="A57" i="22" s="1"/>
  <c r="A59" i="22" s="1"/>
  <c r="A60" i="22" s="1"/>
  <c r="A63" i="22" s="1"/>
  <c r="A64" i="22" s="1"/>
  <c r="A65" i="22" s="1"/>
  <c r="A66"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12" i="22" s="1"/>
  <c r="A113" i="22" s="1"/>
  <c r="A115" i="22" s="1"/>
  <c r="A116" i="22" s="1"/>
  <c r="A117" i="22" s="1"/>
  <c r="A119" i="22" s="1"/>
  <c r="A121" i="22" s="1"/>
  <c r="A123" i="22" s="1"/>
  <c r="A124" i="22" s="1"/>
  <c r="A126" i="22" s="1"/>
  <c r="A127" i="22" s="1"/>
  <c r="A128" i="22" s="1"/>
  <c r="A129" i="22" s="1"/>
  <c r="A131" i="22" s="1"/>
  <c r="A132" i="22" s="1"/>
  <c r="A133" i="22" s="1"/>
  <c r="A134" i="22" s="1"/>
  <c r="A137" i="22" s="1"/>
  <c r="A138" i="22" s="1"/>
  <c r="A140" i="22" s="1"/>
  <c r="A141" i="22" s="1"/>
  <c r="A142" i="22" s="1"/>
  <c r="A144" i="22" s="1"/>
  <c r="A145" i="22" s="1"/>
  <c r="A146" i="22" s="1"/>
  <c r="A148" i="22" s="1"/>
  <c r="A150" i="22" s="1"/>
  <c r="A151" i="22" s="1"/>
  <c r="A153" i="22" s="1"/>
  <c r="A154" i="22" s="1"/>
  <c r="A155" i="22" s="1"/>
  <c r="A156" i="22" s="1"/>
  <c r="A158" i="22" s="1"/>
  <c r="A159" i="22" s="1"/>
  <c r="A160" i="22" s="1"/>
  <c r="A161"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92" i="22" s="1"/>
  <c r="A193" i="22" s="1"/>
  <c r="A194" i="22" s="1"/>
  <c r="A196" i="22" s="1"/>
  <c r="A197" i="22" s="1"/>
  <c r="A198" i="22" s="1"/>
  <c r="A199" i="22" s="1"/>
  <c r="A202" i="22" s="1"/>
  <c r="A203" i="22" s="1"/>
  <c r="A205" i="22" s="1"/>
  <c r="A206" i="22" s="1"/>
  <c r="A207"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6" i="22" s="1"/>
  <c r="A237" i="22" s="1"/>
  <c r="A238" i="22" s="1"/>
  <c r="A239" i="22" s="1"/>
  <c r="A240" i="22" s="1"/>
  <c r="A243" i="22" s="1"/>
  <c r="A244" i="22" s="1"/>
  <c r="A245" i="22" s="1"/>
  <c r="A248" i="22" s="1"/>
  <c r="A249" i="22" s="1"/>
  <c r="A250" i="22" s="1"/>
  <c r="A251" i="22" s="1"/>
  <c r="A252" i="22" s="1"/>
  <c r="A253" i="22" s="1"/>
  <c r="A254" i="22" s="1"/>
  <c r="A257" i="22" s="1"/>
  <c r="A265" i="22" s="1"/>
  <c r="A266" i="22" s="1"/>
  <c r="A267" i="22" s="1"/>
  <c r="A268" i="22" s="1"/>
  <c r="A270" i="22" s="1"/>
  <c r="A271" i="22" s="1"/>
  <c r="A272" i="22" s="1"/>
  <c r="A274" i="22" s="1"/>
  <c r="A275" i="22" s="1"/>
  <c r="A276" i="22" s="1"/>
  <c r="A277" i="22" s="1"/>
  <c r="A278" i="22" s="1"/>
  <c r="A279" i="22" s="1"/>
  <c r="A280" i="22" s="1"/>
  <c r="A281" i="22" s="1"/>
  <c r="A282" i="22" s="1"/>
  <c r="A285" i="22" s="1"/>
  <c r="A286" i="22" s="1"/>
  <c r="A287" i="22" s="1"/>
  <c r="A288" i="22" s="1"/>
  <c r="A290" i="22" s="1"/>
  <c r="A291" i="22" s="1"/>
  <c r="A292" i="22" s="1"/>
  <c r="A293" i="22" s="1"/>
  <c r="A294" i="22" s="1"/>
  <c r="A296" i="22" s="1"/>
  <c r="A299" i="22" s="1"/>
  <c r="A302" i="22" s="1"/>
  <c r="A303" i="22" s="1"/>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9"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466" i="22" s="1"/>
  <c r="A467" i="22" s="1"/>
  <c r="A468" i="22" s="1"/>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A506" i="22" s="1"/>
  <c r="A507" i="22" s="1"/>
  <c r="A508" i="22" s="1"/>
  <c r="A509" i="22" s="1"/>
  <c r="A510" i="22" s="1"/>
  <c r="A511" i="22" s="1"/>
  <c r="A512" i="22" s="1"/>
  <c r="A513" i="22" s="1"/>
  <c r="A514" i="22" s="1"/>
  <c r="A515" i="22" s="1"/>
  <c r="A516" i="22" s="1"/>
  <c r="A517" i="22" s="1"/>
  <c r="A518" i="22" s="1"/>
  <c r="A519" i="22" s="1"/>
  <c r="A520" i="22" s="1"/>
  <c r="A521" i="22" s="1"/>
  <c r="A524" i="22" s="1"/>
  <c r="A10" i="12" l="1"/>
  <c r="A11" i="12"/>
  <c r="A12" i="12"/>
  <c r="A13" i="12"/>
  <c r="A14" i="12"/>
  <c r="A15" i="12"/>
  <c r="A17" i="12"/>
  <c r="A19" i="12"/>
  <c r="A22" i="12"/>
  <c r="A23" i="12"/>
  <c r="A24" i="12"/>
  <c r="A25" i="12"/>
  <c r="A27" i="12"/>
  <c r="A28" i="12"/>
  <c r="A29" i="12"/>
  <c r="A30" i="12"/>
  <c r="A33" i="12"/>
  <c r="A34" i="12"/>
  <c r="A36" i="12"/>
  <c r="A37" i="12"/>
  <c r="A38" i="12"/>
  <c r="A39" i="12"/>
  <c r="A40" i="12"/>
  <c r="A42" i="12"/>
  <c r="A43" i="12"/>
  <c r="A44" i="12"/>
  <c r="A45" i="12"/>
  <c r="A47" i="12"/>
  <c r="A48" i="12"/>
  <c r="A49" i="12"/>
  <c r="A50" i="12"/>
  <c r="A53" i="12"/>
  <c r="A54" i="12"/>
  <c r="A55" i="12"/>
  <c r="A56" i="12"/>
  <c r="A57" i="12"/>
  <c r="A61" i="12"/>
  <c r="A62" i="12"/>
  <c r="A63" i="12"/>
  <c r="A64" i="12"/>
  <c r="A66" i="12"/>
  <c r="A67" i="12"/>
  <c r="A68" i="12"/>
  <c r="A69" i="12"/>
  <c r="A82" i="12"/>
  <c r="A83" i="12"/>
  <c r="A84" i="12"/>
  <c r="A85" i="12"/>
  <c r="A88" i="12"/>
  <c r="A89" i="12"/>
  <c r="A90" i="12"/>
  <c r="A91" i="12"/>
  <c r="A93" i="12"/>
  <c r="A94" i="12"/>
  <c r="A95" i="12"/>
  <c r="A96" i="12"/>
  <c r="A97" i="12"/>
  <c r="A98" i="12"/>
  <c r="A102" i="12"/>
  <c r="A106" i="12"/>
  <c r="A109" i="12"/>
  <c r="A117" i="12"/>
  <c r="A118" i="12"/>
  <c r="A119" i="12"/>
  <c r="A120" i="12"/>
  <c r="A131" i="12"/>
  <c r="A132" i="12"/>
  <c r="A133" i="12"/>
  <c r="A134" i="12"/>
  <c r="A136" i="12"/>
  <c r="A137" i="12"/>
  <c r="A138" i="12"/>
  <c r="A139" i="12"/>
  <c r="A140" i="12"/>
  <c r="A141" i="12"/>
  <c r="A142" i="12"/>
  <c r="A144" i="12"/>
  <c r="A145" i="12"/>
  <c r="A146" i="12"/>
  <c r="A147" i="12"/>
  <c r="A150" i="12"/>
  <c r="A152" i="12"/>
  <c r="A153" i="12"/>
  <c r="A154" i="12"/>
  <c r="A156" i="12"/>
  <c r="A157" i="12"/>
  <c r="A158" i="12"/>
  <c r="A159" i="12"/>
  <c r="A161" i="12"/>
  <c r="A162" i="12"/>
  <c r="A163" i="12"/>
  <c r="A164" i="12"/>
  <c r="A166" i="12"/>
  <c r="A167" i="12"/>
  <c r="A169" i="12"/>
  <c r="A170" i="12"/>
  <c r="A171" i="12"/>
  <c r="A172" i="12"/>
  <c r="A174" i="12"/>
  <c r="A175" i="12"/>
  <c r="A176" i="12"/>
  <c r="A177" i="12"/>
  <c r="A179" i="12"/>
  <c r="A180" i="12"/>
  <c r="A182" i="12"/>
  <c r="A183" i="12"/>
  <c r="A184" i="12"/>
  <c r="A185" i="12"/>
  <c r="A188" i="12"/>
  <c r="A189" i="12"/>
  <c r="A191" i="12"/>
  <c r="A192" i="12"/>
  <c r="A193" i="12"/>
  <c r="A194" i="12"/>
  <c r="A196" i="12"/>
  <c r="A197" i="12"/>
  <c r="A198" i="12"/>
  <c r="A199" i="12"/>
  <c r="A203" i="12"/>
  <c r="A204" i="12"/>
  <c r="A206" i="12"/>
  <c r="A207" i="12"/>
  <c r="A208" i="12"/>
  <c r="A209" i="12"/>
  <c r="A213" i="12"/>
  <c r="A214" i="12"/>
  <c r="A216" i="12"/>
  <c r="A217" i="12"/>
  <c r="A218" i="12"/>
  <c r="A219" i="12"/>
  <c r="A221" i="12"/>
  <c r="A222" i="12"/>
  <c r="A223" i="12"/>
  <c r="A224" i="12"/>
  <c r="A228" i="12"/>
  <c r="A229" i="12"/>
  <c r="A231" i="12"/>
  <c r="A232" i="12"/>
  <c r="A233" i="12"/>
  <c r="A234" i="12"/>
  <c r="A238" i="12"/>
  <c r="A239" i="12"/>
  <c r="A241" i="12"/>
  <c r="A242" i="12"/>
  <c r="A243" i="12"/>
  <c r="A244" i="12"/>
  <c r="A246" i="12"/>
  <c r="A247" i="12"/>
  <c r="A248" i="12"/>
  <c r="A249" i="12"/>
  <c r="A253" i="12"/>
  <c r="A254" i="12"/>
  <c r="A256" i="12"/>
  <c r="A257" i="12"/>
  <c r="A258" i="12"/>
  <c r="A259" i="12"/>
  <c r="A261" i="12"/>
  <c r="A262" i="12"/>
  <c r="A263" i="12"/>
  <c r="A264" i="12"/>
  <c r="A268" i="12"/>
  <c r="A269" i="12"/>
  <c r="A271" i="12"/>
  <c r="A272" i="12"/>
  <c r="A273" i="12"/>
  <c r="A274" i="12"/>
  <c r="A278" i="12"/>
  <c r="A279" i="12"/>
  <c r="A281" i="12"/>
  <c r="A282" i="12"/>
  <c r="A283" i="12"/>
  <c r="A284" i="12"/>
  <c r="A286" i="12"/>
  <c r="A287" i="12"/>
  <c r="A288" i="12"/>
  <c r="A289" i="12"/>
  <c r="A293" i="12"/>
  <c r="A294" i="12"/>
  <c r="A296" i="12"/>
  <c r="A297" i="12"/>
  <c r="A298" i="12"/>
  <c r="A299" i="12"/>
  <c r="A301" i="12"/>
  <c r="A302" i="12"/>
  <c r="A303" i="12"/>
  <c r="A304" i="12"/>
  <c r="A307" i="12"/>
  <c r="A310" i="12"/>
  <c r="A311" i="12"/>
  <c r="A313" i="12"/>
  <c r="A314" i="12"/>
  <c r="A315" i="12"/>
  <c r="A316" i="12"/>
  <c r="A318" i="12"/>
  <c r="A319" i="12"/>
  <c r="A320" i="12"/>
  <c r="A321" i="12"/>
  <c r="A324" i="12"/>
  <c r="A327" i="12"/>
  <c r="A328" i="12"/>
  <c r="A330" i="12"/>
  <c r="A331" i="12"/>
  <c r="A332" i="12"/>
  <c r="A333" i="12"/>
  <c r="A337" i="12"/>
  <c r="A338" i="12"/>
  <c r="A340" i="12"/>
  <c r="A341" i="12"/>
  <c r="A342" i="12"/>
  <c r="A343" i="12"/>
  <c r="A347" i="12"/>
  <c r="A348" i="12"/>
  <c r="A350" i="12"/>
  <c r="A351" i="12"/>
  <c r="A352" i="12"/>
  <c r="A353" i="12"/>
  <c r="A355" i="12"/>
  <c r="A356" i="12"/>
  <c r="A357" i="12"/>
  <c r="A358" i="12"/>
  <c r="A361" i="12"/>
  <c r="A363" i="12"/>
  <c r="A364" i="12"/>
  <c r="A366" i="12"/>
  <c r="A367" i="12"/>
  <c r="A368" i="12"/>
  <c r="A369" i="12"/>
  <c r="A371" i="12"/>
  <c r="A372" i="12"/>
  <c r="A373" i="12"/>
  <c r="A374" i="12"/>
  <c r="A377" i="12"/>
  <c r="A379" i="12"/>
  <c r="A380" i="12"/>
  <c r="A383" i="12"/>
  <c r="A384" i="12"/>
  <c r="A385" i="12"/>
  <c r="A386" i="12"/>
  <c r="A389" i="12"/>
  <c r="A392" i="12"/>
  <c r="A393" i="12"/>
  <c r="A396" i="12"/>
  <c r="A397" i="12"/>
  <c r="A398" i="12"/>
  <c r="A399" i="12"/>
  <c r="A402" i="12"/>
  <c r="A405" i="12"/>
  <c r="A406" i="12"/>
  <c r="A408" i="12"/>
  <c r="A409" i="12"/>
  <c r="A410" i="12"/>
  <c r="A411" i="12"/>
  <c r="A414" i="12"/>
  <c r="A416" i="12"/>
  <c r="A417" i="12"/>
  <c r="A419" i="12"/>
  <c r="A420" i="12"/>
  <c r="A421" i="12"/>
  <c r="A422" i="12"/>
  <c r="A424" i="12"/>
  <c r="A425" i="12"/>
  <c r="A426" i="12"/>
  <c r="A427" i="12"/>
  <c r="A429" i="12"/>
  <c r="A430" i="12"/>
  <c r="A432" i="12"/>
  <c r="A433" i="12"/>
  <c r="A434" i="12"/>
  <c r="A435" i="12"/>
  <c r="A438" i="12"/>
  <c r="A443" i="12"/>
  <c r="A444" i="12"/>
  <c r="A446" i="12"/>
  <c r="A447" i="12"/>
  <c r="A448" i="12"/>
  <c r="A449" i="12"/>
  <c r="A453" i="12"/>
  <c r="A454" i="12"/>
  <c r="A456" i="12"/>
  <c r="A457" i="12"/>
  <c r="A458" i="12"/>
  <c r="A459" i="12"/>
  <c r="A463" i="12"/>
  <c r="A464" i="12"/>
  <c r="A465" i="12"/>
  <c r="A467" i="12"/>
  <c r="A468" i="12"/>
  <c r="A469" i="12"/>
  <c r="A470" i="12"/>
  <c r="A472" i="12"/>
  <c r="A473" i="12"/>
  <c r="A474" i="12"/>
  <c r="A475" i="12"/>
  <c r="A477" i="12"/>
  <c r="A478" i="12"/>
  <c r="A480" i="12"/>
  <c r="A481" i="12"/>
  <c r="A482" i="12"/>
  <c r="A483" i="12"/>
  <c r="A485" i="12"/>
  <c r="A486" i="12"/>
  <c r="A487" i="12"/>
  <c r="A488" i="12"/>
  <c r="A490" i="12"/>
  <c r="A491" i="12"/>
  <c r="A493" i="12"/>
  <c r="A494" i="12"/>
  <c r="A495" i="12"/>
  <c r="A496" i="12"/>
  <c r="A498" i="12"/>
  <c r="A499" i="12"/>
  <c r="A500" i="12"/>
  <c r="A501" i="12"/>
  <c r="A503" i="12"/>
  <c r="A504" i="12"/>
  <c r="A506" i="12"/>
  <c r="A507" i="12"/>
  <c r="A508" i="12"/>
  <c r="A509" i="12"/>
  <c r="A512" i="12"/>
  <c r="A513" i="12"/>
  <c r="A515" i="12"/>
  <c r="A516" i="12"/>
  <c r="A517" i="12"/>
  <c r="A518" i="12"/>
  <c r="A521" i="12"/>
  <c r="A522" i="12"/>
  <c r="A524" i="12"/>
  <c r="A525" i="12"/>
  <c r="A526" i="12"/>
  <c r="A527" i="12"/>
  <c r="A529" i="12"/>
  <c r="A530" i="12"/>
  <c r="A531" i="12"/>
  <c r="A532" i="12"/>
  <c r="A535" i="12"/>
  <c r="A536" i="12"/>
  <c r="A538" i="12"/>
  <c r="A539" i="12"/>
  <c r="A540" i="12"/>
  <c r="A541" i="12"/>
  <c r="A545" i="12"/>
  <c r="A546" i="12"/>
  <c r="A548" i="12"/>
  <c r="A549" i="12"/>
  <c r="A550" i="12"/>
  <c r="A551" i="12"/>
  <c r="A553" i="12"/>
  <c r="A554" i="12"/>
  <c r="A555" i="12"/>
  <c r="A556" i="12"/>
  <c r="A560" i="12"/>
  <c r="A561" i="12"/>
  <c r="A563" i="12"/>
  <c r="A564" i="12"/>
  <c r="A565" i="12"/>
  <c r="A566" i="12"/>
  <c r="A570" i="12"/>
  <c r="A571" i="12"/>
  <c r="A573" i="12"/>
  <c r="A574" i="12"/>
  <c r="A575" i="12"/>
  <c r="A576" i="12"/>
  <c r="A578" i="12"/>
  <c r="A579" i="12"/>
  <c r="A580" i="12"/>
  <c r="A581" i="12"/>
  <c r="A585" i="12"/>
  <c r="A586" i="12"/>
  <c r="A588" i="12"/>
  <c r="A589" i="12"/>
  <c r="A590" i="12"/>
  <c r="A591" i="12"/>
  <c r="A593" i="12"/>
  <c r="A594" i="12"/>
  <c r="A595" i="12"/>
  <c r="A596" i="12"/>
  <c r="A600" i="12"/>
  <c r="A601" i="12"/>
  <c r="A603" i="12"/>
  <c r="A604" i="12"/>
  <c r="A605" i="12"/>
  <c r="A606" i="12"/>
  <c r="A610" i="12"/>
  <c r="A611" i="12"/>
  <c r="A613" i="12"/>
  <c r="A614" i="12"/>
  <c r="A615" i="12"/>
  <c r="A616" i="12"/>
  <c r="A620" i="12"/>
  <c r="A621" i="12"/>
  <c r="A623" i="12"/>
  <c r="A624" i="12"/>
  <c r="A625" i="12"/>
  <c r="A626" i="12"/>
  <c r="A630" i="12"/>
  <c r="A631" i="12"/>
  <c r="A633" i="12"/>
  <c r="A634" i="12"/>
  <c r="A635" i="12"/>
  <c r="A636" i="12"/>
  <c r="A638" i="12"/>
  <c r="A639" i="12"/>
  <c r="A640" i="12"/>
  <c r="A641" i="12"/>
  <c r="A645" i="12"/>
  <c r="A646" i="12"/>
  <c r="A648" i="12"/>
  <c r="A649" i="12"/>
  <c r="A650" i="12"/>
  <c r="A651" i="12"/>
  <c r="A653" i="12"/>
  <c r="A654" i="12"/>
  <c r="A655" i="12"/>
  <c r="A656" i="12"/>
  <c r="A660" i="12"/>
  <c r="A661" i="12"/>
  <c r="A663" i="12"/>
  <c r="A664" i="12"/>
  <c r="A665" i="12"/>
  <c r="A666" i="12"/>
  <c r="A670" i="12"/>
  <c r="A671" i="12"/>
  <c r="A673" i="12"/>
  <c r="A674" i="12"/>
  <c r="A675" i="12"/>
  <c r="A676" i="12"/>
  <c r="A678" i="12"/>
  <c r="A679" i="12"/>
  <c r="A680" i="12"/>
  <c r="A681" i="12"/>
  <c r="A685" i="12"/>
  <c r="A686" i="12"/>
  <c r="A688" i="12"/>
  <c r="A689" i="12"/>
  <c r="A690" i="12"/>
  <c r="A691" i="12"/>
  <c r="A695" i="12"/>
  <c r="A696" i="12"/>
  <c r="A698" i="12"/>
  <c r="A699" i="12"/>
  <c r="A700" i="12"/>
  <c r="A701" i="12"/>
  <c r="A705" i="12"/>
  <c r="A706" i="12"/>
  <c r="A708" i="12"/>
  <c r="A709" i="12"/>
  <c r="A710" i="12"/>
  <c r="A711" i="12"/>
  <c r="A714" i="12"/>
  <c r="A716" i="12"/>
  <c r="A717" i="12"/>
  <c r="A719" i="12"/>
  <c r="A720" i="12"/>
  <c r="A721" i="12"/>
  <c r="A722" i="12"/>
  <c r="A724" i="12"/>
  <c r="A725" i="12"/>
  <c r="A726" i="12"/>
  <c r="A727" i="12"/>
  <c r="A729" i="12"/>
  <c r="A730" i="12"/>
  <c r="A732" i="12"/>
  <c r="A733" i="12"/>
  <c r="A734" i="12"/>
  <c r="A735" i="12"/>
  <c r="A739" i="12"/>
  <c r="A740" i="12"/>
  <c r="A742" i="12"/>
  <c r="A743" i="12"/>
  <c r="A744" i="12"/>
  <c r="A745" i="12"/>
  <c r="A749" i="12"/>
  <c r="A750" i="12"/>
  <c r="A753" i="12"/>
  <c r="A754" i="12"/>
  <c r="A755" i="12"/>
  <c r="A757" i="12"/>
  <c r="A758" i="12"/>
  <c r="A759" i="12"/>
  <c r="A760" i="12"/>
  <c r="A762" i="12"/>
  <c r="A763" i="12"/>
  <c r="A764" i="12"/>
  <c r="A765" i="12"/>
  <c r="A767" i="12"/>
  <c r="A768" i="12"/>
  <c r="A770" i="12"/>
  <c r="A771" i="12"/>
  <c r="A772" i="12"/>
  <c r="A773" i="12"/>
  <c r="A775" i="12"/>
  <c r="A776" i="12"/>
  <c r="A777" i="12"/>
  <c r="A778" i="12"/>
  <c r="A780" i="12"/>
  <c r="A781" i="12"/>
  <c r="A783" i="12"/>
  <c r="A784" i="12"/>
  <c r="A785" i="12"/>
  <c r="A786" i="12"/>
  <c r="A788" i="12"/>
  <c r="A789" i="12"/>
  <c r="A790" i="12"/>
  <c r="A791" i="12"/>
  <c r="A793" i="12"/>
  <c r="A794" i="12"/>
  <c r="A796" i="12"/>
  <c r="A797" i="12"/>
  <c r="A798" i="12"/>
  <c r="A799" i="12"/>
  <c r="A802" i="12"/>
  <c r="A803" i="12"/>
  <c r="A805" i="12"/>
  <c r="A806" i="12"/>
  <c r="A807" i="12"/>
  <c r="A808" i="12"/>
  <c r="A811" i="12"/>
  <c r="A812" i="12"/>
  <c r="A814" i="12"/>
  <c r="A815" i="12"/>
  <c r="A816" i="12"/>
  <c r="A817" i="12"/>
  <c r="A819" i="12"/>
  <c r="A820" i="12"/>
  <c r="A821" i="12"/>
  <c r="A822" i="12"/>
  <c r="A825" i="12"/>
  <c r="A826" i="12"/>
  <c r="A828" i="12"/>
  <c r="A829" i="12"/>
  <c r="A830" i="12"/>
  <c r="A831" i="12"/>
  <c r="A835" i="12"/>
  <c r="A836" i="12"/>
  <c r="A838" i="12"/>
  <c r="A839" i="12"/>
  <c r="A840" i="12"/>
  <c r="A841" i="12"/>
  <c r="A843" i="12"/>
  <c r="A844" i="12"/>
  <c r="A845" i="12"/>
  <c r="A846" i="12"/>
  <c r="A850" i="12"/>
  <c r="A851" i="12"/>
  <c r="A853" i="12"/>
  <c r="A854" i="12"/>
  <c r="A855" i="12"/>
  <c r="A856" i="12"/>
  <c r="A860" i="12"/>
  <c r="A861" i="12"/>
  <c r="A863" i="12"/>
  <c r="A864" i="12"/>
  <c r="A865" i="12"/>
  <c r="A866" i="12"/>
  <c r="A868" i="12"/>
  <c r="A869" i="12"/>
  <c r="A870" i="12"/>
  <c r="A871" i="12"/>
  <c r="A875" i="12"/>
  <c r="A876" i="12"/>
  <c r="A878" i="12"/>
  <c r="A879" i="12"/>
  <c r="A880" i="12"/>
  <c r="A881" i="12"/>
  <c r="A883" i="12"/>
  <c r="A884" i="12"/>
  <c r="A885" i="12"/>
  <c r="A886" i="12"/>
  <c r="A890" i="12"/>
  <c r="A891" i="12"/>
  <c r="A893" i="12"/>
  <c r="A894" i="12"/>
  <c r="A895" i="12"/>
  <c r="A896" i="12"/>
  <c r="A900" i="12"/>
  <c r="A901" i="12"/>
  <c r="A903" i="12"/>
  <c r="A904" i="12"/>
  <c r="A905" i="12"/>
  <c r="A906" i="12"/>
  <c r="A910" i="12"/>
  <c r="A911" i="12"/>
  <c r="A913" i="12"/>
  <c r="A914" i="12"/>
  <c r="A915" i="12"/>
  <c r="A916" i="12"/>
  <c r="A920" i="12"/>
  <c r="A921" i="12"/>
  <c r="A923" i="12"/>
  <c r="A924" i="12"/>
  <c r="A925" i="12"/>
  <c r="A926" i="12"/>
  <c r="A928" i="12"/>
  <c r="A929" i="12"/>
  <c r="A930" i="12"/>
  <c r="A931" i="12"/>
  <c r="A935" i="12"/>
  <c r="A936" i="12"/>
  <c r="A938" i="12"/>
  <c r="A939" i="12"/>
  <c r="A940" i="12"/>
  <c r="A941" i="12"/>
  <c r="A943" i="12"/>
  <c r="A944" i="12"/>
  <c r="A945" i="12"/>
  <c r="A946" i="12"/>
  <c r="A950" i="12"/>
  <c r="A951" i="12"/>
  <c r="A953" i="12"/>
  <c r="A954" i="12"/>
  <c r="A955" i="12"/>
  <c r="A956" i="12"/>
  <c r="A960" i="12"/>
  <c r="A961" i="12"/>
  <c r="A963" i="12"/>
  <c r="A964" i="12"/>
  <c r="A965" i="12"/>
  <c r="A966" i="12"/>
  <c r="A968" i="12"/>
  <c r="A969" i="12"/>
  <c r="A970" i="12"/>
  <c r="A971" i="12"/>
  <c r="A975" i="12"/>
  <c r="A976" i="12"/>
  <c r="A978" i="12"/>
  <c r="A979" i="12"/>
  <c r="A980" i="12"/>
  <c r="A981" i="12"/>
  <c r="A985" i="12"/>
  <c r="A986" i="12"/>
  <c r="A988" i="12"/>
  <c r="A989" i="12"/>
  <c r="A990" i="12"/>
  <c r="A991" i="12"/>
  <c r="A995" i="12"/>
  <c r="A996" i="12"/>
  <c r="A998" i="12"/>
  <c r="A999" i="12"/>
  <c r="A1000" i="12"/>
  <c r="A1001" i="12"/>
  <c r="A1004" i="12"/>
  <c r="A1006" i="12"/>
  <c r="A1007" i="12"/>
  <c r="A1009" i="12"/>
  <c r="A1010" i="12"/>
  <c r="A1011" i="12"/>
  <c r="A1012" i="12"/>
  <c r="A1014" i="12"/>
  <c r="A1015" i="12"/>
  <c r="A1016" i="12"/>
  <c r="A1017" i="12"/>
  <c r="A1019" i="12"/>
  <c r="A1020" i="12"/>
  <c r="A1022" i="12"/>
  <c r="A1023" i="12"/>
  <c r="A1024" i="12"/>
  <c r="A1025" i="12"/>
  <c r="A1029" i="12"/>
  <c r="A1030" i="12"/>
  <c r="A1032" i="12"/>
  <c r="A1033" i="12"/>
  <c r="A1034" i="12"/>
  <c r="A1035" i="12"/>
  <c r="A1039" i="12"/>
  <c r="A1040" i="12"/>
  <c r="A1043" i="12"/>
  <c r="A1044" i="12"/>
  <c r="A1045" i="12"/>
  <c r="A1047" i="12"/>
  <c r="A1048" i="12"/>
  <c r="A1049" i="12"/>
  <c r="A1050" i="12"/>
  <c r="A1052" i="12"/>
  <c r="A1053" i="12"/>
  <c r="A1054" i="12"/>
  <c r="A1055" i="12"/>
  <c r="A1057" i="12"/>
  <c r="A1058" i="12"/>
  <c r="A1060" i="12"/>
  <c r="A1061" i="12"/>
  <c r="A1062" i="12"/>
  <c r="A1063" i="12"/>
  <c r="A1065" i="12"/>
  <c r="A1066" i="12"/>
  <c r="A1067" i="12"/>
  <c r="A1068" i="12"/>
  <c r="A1070" i="12"/>
  <c r="A1071" i="12"/>
  <c r="A1073" i="12"/>
  <c r="A1074" i="12"/>
  <c r="A1075" i="12"/>
  <c r="A1076" i="12"/>
  <c r="A1078" i="12"/>
  <c r="A1079" i="12"/>
  <c r="A1080" i="12"/>
  <c r="A1081" i="12"/>
  <c r="A1083" i="12"/>
  <c r="A1084" i="12"/>
  <c r="A1086" i="12"/>
  <c r="A1087" i="12"/>
  <c r="A1088" i="12"/>
  <c r="A1089" i="12"/>
  <c r="A1092" i="12"/>
  <c r="A1093" i="12"/>
  <c r="A1095" i="12"/>
  <c r="A1096" i="12"/>
  <c r="A1097" i="12"/>
  <c r="A1098" i="12"/>
  <c r="A1101" i="12"/>
  <c r="A1102" i="12"/>
  <c r="A1104" i="12"/>
  <c r="A1105" i="12"/>
  <c r="A1106" i="12"/>
  <c r="A1107" i="12"/>
  <c r="A1109" i="12"/>
  <c r="A1110" i="12"/>
  <c r="A1111" i="12"/>
  <c r="A1112" i="12"/>
  <c r="A1115" i="12"/>
  <c r="A1116" i="12"/>
  <c r="A1118" i="12"/>
  <c r="A1119" i="12"/>
  <c r="A1120" i="12"/>
  <c r="A1121" i="12"/>
  <c r="A1125" i="12"/>
  <c r="A1126" i="12"/>
  <c r="A1128" i="12"/>
  <c r="A1129" i="12"/>
  <c r="A1130" i="12"/>
  <c r="A1131" i="12"/>
  <c r="A1133" i="12"/>
  <c r="A1134" i="12"/>
  <c r="A1135" i="12"/>
  <c r="A1136" i="12"/>
  <c r="A1140" i="12"/>
  <c r="A1141" i="12"/>
  <c r="A1143" i="12"/>
  <c r="A1144" i="12"/>
  <c r="A1145" i="12"/>
  <c r="A1146" i="12"/>
  <c r="A1150" i="12"/>
  <c r="A1151" i="12"/>
  <c r="A1153" i="12"/>
  <c r="A1154" i="12"/>
  <c r="A1155" i="12"/>
  <c r="A1156" i="12"/>
  <c r="A1158" i="12"/>
  <c r="A1159" i="12"/>
  <c r="A1160" i="12"/>
  <c r="A1161" i="12"/>
  <c r="A1165" i="12"/>
  <c r="A1166" i="12"/>
  <c r="A1168" i="12"/>
  <c r="A1169" i="12"/>
  <c r="A1170" i="12"/>
  <c r="A1171" i="12"/>
  <c r="A1173" i="12"/>
  <c r="A1174" i="12"/>
  <c r="A1175" i="12"/>
  <c r="A1176" i="12"/>
  <c r="A1180" i="12"/>
  <c r="A1181" i="12"/>
  <c r="A1183" i="12"/>
  <c r="A1184" i="12"/>
  <c r="A1185" i="12"/>
  <c r="A1186" i="12"/>
  <c r="A1190" i="12"/>
  <c r="A1191" i="12"/>
  <c r="A1193" i="12"/>
  <c r="A1194" i="12"/>
  <c r="A1195" i="12"/>
  <c r="A1196" i="12"/>
  <c r="A1200" i="12"/>
  <c r="A1201" i="12"/>
  <c r="A1203" i="12"/>
  <c r="A1204" i="12"/>
  <c r="A1205" i="12"/>
  <c r="A1206" i="12"/>
  <c r="A1210" i="12"/>
  <c r="A1211" i="12"/>
  <c r="A1213" i="12"/>
  <c r="A1214" i="12"/>
  <c r="A1215" i="12"/>
  <c r="A1216" i="12"/>
  <c r="A1220" i="12"/>
  <c r="A1221" i="12"/>
  <c r="A1223" i="12"/>
  <c r="A1224" i="12"/>
  <c r="A1225" i="12"/>
  <c r="A1226" i="12"/>
  <c r="A1229" i="12"/>
  <c r="A1232" i="12"/>
  <c r="A1233" i="12"/>
  <c r="A1235" i="12"/>
  <c r="A1236" i="12"/>
  <c r="A1237" i="12"/>
  <c r="A1238" i="12"/>
  <c r="A1242" i="12"/>
  <c r="A1243" i="12"/>
  <c r="A1245" i="12"/>
  <c r="A1246" i="12"/>
  <c r="A1247" i="12"/>
  <c r="A1248" i="12"/>
  <c r="A1251" i="12"/>
  <c r="A1253" i="12"/>
  <c r="A1254" i="12"/>
  <c r="A1256" i="12"/>
  <c r="A1257" i="12"/>
  <c r="A1258" i="12"/>
  <c r="A1259" i="12"/>
  <c r="A1261" i="12"/>
  <c r="A1262" i="12"/>
  <c r="A1263" i="12"/>
  <c r="A1264" i="12"/>
  <c r="A1266" i="12"/>
  <c r="A1267" i="12"/>
  <c r="A1269" i="12"/>
  <c r="A1270" i="12"/>
  <c r="A1271" i="12"/>
  <c r="A1272" i="12"/>
  <c r="A1276" i="12"/>
  <c r="A1277" i="12"/>
  <c r="A1279" i="12"/>
  <c r="A1280" i="12"/>
  <c r="A1281" i="12"/>
  <c r="A1282" i="12"/>
  <c r="A1286" i="12"/>
  <c r="A1287" i="12"/>
  <c r="A1290" i="12"/>
  <c r="A1291" i="12"/>
  <c r="A1292" i="12"/>
  <c r="A1294" i="12"/>
  <c r="A1295" i="12"/>
  <c r="A1296" i="12"/>
  <c r="A1297" i="12"/>
  <c r="A1299" i="12"/>
  <c r="A1300" i="12"/>
  <c r="A1302" i="12"/>
  <c r="A1303" i="12"/>
  <c r="A1304" i="12"/>
  <c r="A1305" i="12"/>
  <c r="A1309" i="12"/>
  <c r="A1310" i="12"/>
  <c r="A1313" i="12"/>
  <c r="A1314" i="12"/>
  <c r="A1315" i="12"/>
  <c r="A1316" i="12"/>
  <c r="A1325" i="12"/>
  <c r="A1326" i="12"/>
  <c r="A1327" i="12"/>
  <c r="A1328" i="12"/>
  <c r="A1330" i="12"/>
  <c r="A1331" i="12"/>
  <c r="A1332" i="12"/>
  <c r="A1333" i="12"/>
  <c r="A1337" i="12"/>
  <c r="A1338" i="12"/>
  <c r="A1339" i="12"/>
  <c r="A1340" i="12"/>
  <c r="A1342" i="12"/>
  <c r="A1343" i="12"/>
  <c r="A1344" i="12"/>
  <c r="A1345" i="12"/>
  <c r="A1348" i="12"/>
  <c r="A1349" i="12"/>
  <c r="A1350" i="12"/>
  <c r="A1351" i="12"/>
  <c r="A1353" i="12"/>
  <c r="A1354" i="12"/>
  <c r="A1355" i="12"/>
  <c r="A1356" i="12"/>
  <c r="A1359" i="12"/>
  <c r="A1360" i="12"/>
  <c r="A1361" i="12"/>
  <c r="A1362" i="12"/>
  <c r="A1364" i="12"/>
  <c r="A1365" i="12"/>
  <c r="A1366" i="12"/>
  <c r="A1367" i="12"/>
  <c r="A1369" i="12"/>
  <c r="A1370" i="12"/>
  <c r="A1371" i="12"/>
  <c r="A1372" i="12"/>
  <c r="A1373" i="12"/>
  <c r="A1381" i="12"/>
  <c r="A1384" i="12"/>
  <c r="A1385" i="12"/>
  <c r="A1386" i="12"/>
  <c r="A1387" i="12"/>
  <c r="A1388" i="12"/>
  <c r="A1391" i="12"/>
  <c r="A1394" i="12"/>
  <c r="A1397" i="12"/>
  <c r="A1398" i="12"/>
  <c r="A1399" i="12"/>
  <c r="A1400" i="12"/>
  <c r="A1401" i="12"/>
  <c r="A1414" i="12"/>
  <c r="A1415" i="12"/>
  <c r="A1416" i="12"/>
  <c r="A1417" i="12"/>
  <c r="A1419" i="12"/>
  <c r="A1420" i="12"/>
  <c r="A1421" i="12"/>
  <c r="A1422" i="12"/>
  <c r="A1424" i="12"/>
  <c r="A1425" i="12"/>
  <c r="A1426" i="12"/>
  <c r="A1427" i="12"/>
  <c r="A1436" i="12"/>
  <c r="A1437" i="12"/>
  <c r="A1438" i="12"/>
  <c r="A1439" i="12"/>
  <c r="A1441" i="12"/>
  <c r="A1442" i="12"/>
  <c r="A1443" i="12"/>
  <c r="A1444" i="12"/>
  <c r="A1446" i="12"/>
  <c r="A1447" i="12"/>
  <c r="A1448" i="12"/>
  <c r="A1449" i="12"/>
  <c r="A1461" i="12"/>
  <c r="A1462" i="12"/>
  <c r="A1463" i="12"/>
  <c r="A1464" i="12"/>
  <c r="A1465" i="12"/>
  <c r="A1474" i="12"/>
  <c r="A1475" i="12"/>
  <c r="A1476" i="12"/>
  <c r="A1477" i="12"/>
  <c r="A1478" i="12"/>
  <c r="A1480" i="12"/>
  <c r="A1481" i="12"/>
  <c r="A1490" i="12"/>
  <c r="A1491" i="12"/>
  <c r="A1497" i="12"/>
  <c r="A1498" i="12"/>
  <c r="A1500" i="12"/>
  <c r="A1501" i="12"/>
  <c r="A1504" i="12"/>
  <c r="A1505" i="12"/>
  <c r="A1506" i="12"/>
  <c r="A1507" i="12"/>
  <c r="A1508" i="12"/>
  <c r="A1510" i="12"/>
  <c r="A1511" i="12"/>
  <c r="A1512" i="12"/>
  <c r="A1513" i="12"/>
  <c r="A1515" i="12"/>
  <c r="A11" i="21"/>
  <c r="A12" i="21"/>
  <c r="A14" i="21"/>
  <c r="A15" i="21"/>
  <c r="A22" i="21"/>
  <c r="A23" i="21"/>
  <c r="A27" i="21"/>
  <c r="A28" i="21"/>
  <c r="A30" i="21"/>
  <c r="A31" i="21"/>
  <c r="A32" i="21"/>
  <c r="A33" i="21"/>
  <c r="A35" i="21"/>
  <c r="A37" i="21"/>
  <c r="A39" i="21"/>
  <c r="A41" i="21"/>
  <c r="A43" i="21"/>
  <c r="A45" i="21"/>
  <c r="A46" i="21"/>
  <c r="A47" i="21"/>
  <c r="A49" i="21"/>
  <c r="A51" i="21"/>
  <c r="A53" i="21"/>
  <c r="A55" i="21"/>
  <c r="A56" i="21"/>
  <c r="A57" i="21"/>
  <c r="A58" i="21"/>
  <c r="A59" i="21"/>
  <c r="A107" i="21"/>
  <c r="A112" i="21"/>
  <c r="A115" i="21"/>
  <c r="A119" i="21"/>
  <c r="A120" i="21"/>
  <c r="A121" i="21"/>
  <c r="A122" i="21"/>
  <c r="A126" i="21"/>
  <c r="A127" i="21"/>
  <c r="A128" i="21"/>
  <c r="A129" i="21"/>
  <c r="A136" i="21"/>
  <c r="A137" i="21"/>
  <c r="A138" i="21"/>
  <c r="A139" i="21"/>
  <c r="A140" i="21"/>
  <c r="A147" i="21"/>
  <c r="A148" i="21"/>
  <c r="A149" i="21"/>
  <c r="A150" i="21"/>
  <c r="A151" i="21"/>
  <c r="A157" i="21"/>
  <c r="A158" i="21"/>
  <c r="A159" i="21"/>
  <c r="A160" i="21"/>
  <c r="A162" i="21"/>
  <c r="A164" i="21"/>
  <c r="A166" i="21"/>
  <c r="A168" i="21"/>
  <c r="A169" i="21"/>
  <c r="A170" i="21"/>
  <c r="A171" i="21"/>
  <c r="A177" i="21"/>
  <c r="A178" i="21"/>
  <c r="A179" i="21"/>
  <c r="A180" i="21"/>
  <c r="A181" i="21"/>
  <c r="A190" i="21"/>
  <c r="A191" i="21"/>
  <c r="A192" i="21"/>
  <c r="A193" i="21"/>
  <c r="A194" i="21"/>
  <c r="A195" i="21"/>
  <c r="A201" i="21"/>
  <c r="A202" i="21"/>
  <c r="A208" i="21"/>
  <c r="A209" i="21"/>
  <c r="A215" i="21"/>
  <c r="A218" i="21"/>
  <c r="A219" i="21"/>
  <c r="A220" i="21"/>
  <c r="A221" i="21"/>
  <c r="A222" i="21"/>
  <c r="A225" i="21"/>
  <c r="A229" i="21"/>
  <c r="A230" i="21"/>
  <c r="A232" i="21"/>
  <c r="A233" i="21"/>
  <c r="A237" i="21"/>
  <c r="A238" i="21"/>
  <c r="A241" i="21"/>
  <c r="A242" i="21"/>
  <c r="A245" i="21"/>
  <c r="A246" i="21"/>
  <c r="A248" i="21"/>
  <c r="A249" i="21"/>
  <c r="A251" i="21"/>
  <c r="A252" i="21"/>
  <c r="A258" i="21"/>
  <c r="A259" i="21"/>
  <c r="A261" i="21"/>
  <c r="A262" i="21"/>
  <c r="A265" i="21"/>
  <c r="A266" i="21"/>
  <c r="A267" i="21"/>
  <c r="A268" i="21"/>
  <c r="A269" i="21"/>
  <c r="A270" i="21"/>
  <c r="A277" i="21"/>
  <c r="A278" i="21"/>
  <c r="A282" i="21"/>
  <c r="A283" i="21"/>
  <c r="A287" i="21"/>
  <c r="A288" i="21"/>
  <c r="A289" i="21"/>
  <c r="A296" i="21"/>
  <c r="A297" i="21"/>
  <c r="A298" i="21"/>
  <c r="A299" i="21"/>
  <c r="A300" i="21"/>
  <c r="A306" i="21"/>
  <c r="A312" i="21"/>
  <c r="A318" i="21"/>
  <c r="A319" i="21"/>
  <c r="A325" i="21"/>
  <c r="A326" i="21"/>
  <c r="A329" i="21"/>
  <c r="A330" i="21"/>
  <c r="A336" i="21"/>
  <c r="A337" i="21"/>
  <c r="A340" i="21"/>
  <c r="A341" i="21"/>
  <c r="A344" i="21"/>
  <c r="A345" i="21"/>
  <c r="A352" i="21"/>
  <c r="A353" i="21"/>
  <c r="A354" i="21"/>
  <c r="A355" i="21"/>
  <c r="A361" i="21"/>
  <c r="A367" i="21"/>
  <c r="A368" i="21"/>
  <c r="A372" i="21"/>
  <c r="A373" i="21"/>
  <c r="A374" i="21"/>
  <c r="A375" i="21"/>
  <c r="A380" i="21"/>
  <c r="A385" i="21"/>
  <c r="A390" i="21"/>
  <c r="A395" i="21"/>
  <c r="A400" i="21"/>
  <c r="A405" i="21"/>
  <c r="A406" i="21"/>
  <c r="A407" i="21"/>
  <c r="A421" i="21"/>
  <c r="A422" i="21"/>
  <c r="A423" i="21"/>
  <c r="A424" i="21"/>
  <c r="A429" i="21"/>
  <c r="A430" i="21"/>
  <c r="A435" i="21"/>
  <c r="A436" i="21"/>
  <c r="A437" i="21"/>
  <c r="A438" i="21"/>
  <c r="A443" i="21"/>
  <c r="A448" i="21"/>
  <c r="A453" i="21"/>
  <c r="A454" i="21"/>
  <c r="A455" i="21"/>
  <c r="A462" i="21"/>
  <c r="A463" i="21"/>
  <c r="A464" i="21"/>
  <c r="A465" i="21"/>
  <c r="A473" i="21"/>
  <c r="A474" i="21"/>
  <c r="A475" i="21"/>
  <c r="A476" i="21"/>
  <c r="A477" i="21"/>
  <c r="A478" i="21"/>
  <c r="A480" i="21"/>
  <c r="A487" i="21"/>
  <c r="A494" i="21"/>
  <c r="A501" i="21"/>
  <c r="A508" i="21"/>
  <c r="A515" i="21"/>
  <c r="A516" i="21"/>
  <c r="A525" i="21"/>
  <c r="A526" i="21"/>
  <c r="A541" i="21"/>
  <c r="A542" i="21"/>
  <c r="A553" i="21"/>
  <c r="A554" i="21"/>
  <c r="A556" i="21"/>
  <c r="A557" i="21"/>
  <c r="A568" i="21"/>
  <c r="A569" i="21"/>
  <c r="A571" i="21"/>
  <c r="A572" i="21"/>
  <c r="A574" i="21"/>
  <c r="A575" i="21"/>
  <c r="A577" i="21"/>
  <c r="A578" i="21"/>
  <c r="A579" i="21"/>
  <c r="A584" i="21"/>
  <c r="A589" i="21"/>
  <c r="A594" i="21"/>
  <c r="A599" i="21"/>
  <c r="A600" i="21"/>
  <c r="A604" i="21"/>
  <c r="A605" i="21"/>
  <c r="A607" i="21"/>
  <c r="A608" i="21"/>
  <c r="A633" i="21"/>
  <c r="A638" i="21"/>
  <c r="A639" i="21"/>
  <c r="A640" i="21"/>
  <c r="A641" i="21"/>
  <c r="A643" i="21"/>
  <c r="J491" i="21"/>
  <c r="J498" i="21"/>
  <c r="J505" i="21"/>
  <c r="J512" i="21"/>
  <c r="J493" i="21" l="1"/>
  <c r="J500" i="21"/>
  <c r="J507" i="21"/>
  <c r="J514" i="21"/>
  <c r="J96" i="21"/>
  <c r="J92" i="21"/>
  <c r="J78" i="21"/>
  <c r="H80" i="21"/>
  <c r="J95" i="21"/>
  <c r="J94" i="21"/>
  <c r="J91" i="21"/>
  <c r="J90" i="21"/>
  <c r="J89" i="21"/>
  <c r="J88" i="21"/>
  <c r="J87" i="21"/>
  <c r="J85" i="21"/>
  <c r="J82" i="21"/>
  <c r="J80" i="21"/>
  <c r="J77" i="21"/>
  <c r="J75" i="21"/>
  <c r="J72" i="21"/>
  <c r="J71" i="21"/>
  <c r="J70" i="21"/>
  <c r="J69" i="21"/>
  <c r="J67" i="21"/>
  <c r="J66" i="21"/>
  <c r="J74" i="21"/>
  <c r="J186" i="21" l="1"/>
  <c r="J187" i="21"/>
  <c r="J188" i="21"/>
  <c r="H1509" i="12"/>
  <c r="K1509" i="12" s="1"/>
  <c r="L1511" i="12" s="1"/>
  <c r="E48" i="13" s="1"/>
  <c r="A646" i="21" l="1"/>
  <c r="A645" i="21"/>
  <c r="A644" i="21"/>
  <c r="H642" i="21"/>
  <c r="K642" i="21" s="1"/>
  <c r="H637" i="21"/>
  <c r="K637" i="21" s="1"/>
  <c r="H636" i="21"/>
  <c r="K636" i="21" s="1"/>
  <c r="H635" i="21"/>
  <c r="K635" i="21" s="1"/>
  <c r="H634" i="21"/>
  <c r="K634" i="21" s="1"/>
  <c r="H632" i="21"/>
  <c r="K632" i="21" s="1"/>
  <c r="H631" i="21"/>
  <c r="K631" i="21" s="1"/>
  <c r="H630" i="21"/>
  <c r="K630" i="21" s="1"/>
  <c r="H629" i="21"/>
  <c r="K629" i="21" s="1"/>
  <c r="H628" i="21"/>
  <c r="K628" i="21" s="1"/>
  <c r="H627" i="21"/>
  <c r="K627" i="21" s="1"/>
  <c r="H626" i="21"/>
  <c r="K626" i="21" s="1"/>
  <c r="H625" i="21"/>
  <c r="K625" i="21" s="1"/>
  <c r="H624" i="21"/>
  <c r="K624" i="21" s="1"/>
  <c r="H623" i="21"/>
  <c r="K623" i="21" s="1"/>
  <c r="H622" i="21"/>
  <c r="K622" i="21" s="1"/>
  <c r="H621" i="21"/>
  <c r="K621" i="21" s="1"/>
  <c r="H620" i="21"/>
  <c r="K620" i="21" s="1"/>
  <c r="H619" i="21"/>
  <c r="K619" i="21" s="1"/>
  <c r="H618" i="21"/>
  <c r="K618" i="21" s="1"/>
  <c r="H617" i="21"/>
  <c r="K617" i="21" s="1"/>
  <c r="H616" i="21"/>
  <c r="K616" i="21" s="1"/>
  <c r="H615" i="21"/>
  <c r="K615" i="21" s="1"/>
  <c r="H614" i="21"/>
  <c r="K614" i="21" s="1"/>
  <c r="H613" i="21"/>
  <c r="K613" i="21" s="1"/>
  <c r="H612" i="21"/>
  <c r="K612" i="21" s="1"/>
  <c r="H611" i="21"/>
  <c r="K611" i="21" s="1"/>
  <c r="H610" i="21"/>
  <c r="K610" i="21" s="1"/>
  <c r="H609" i="21"/>
  <c r="K609" i="21" s="1"/>
  <c r="H606" i="21"/>
  <c r="K606" i="21" s="1"/>
  <c r="J603" i="21"/>
  <c r="H603" i="21"/>
  <c r="J602" i="21"/>
  <c r="H602" i="21"/>
  <c r="J601" i="21"/>
  <c r="H601" i="21"/>
  <c r="J598" i="21"/>
  <c r="J597" i="21"/>
  <c r="J596" i="21"/>
  <c r="J595" i="21"/>
  <c r="F595" i="21"/>
  <c r="F596" i="21" s="1"/>
  <c r="H596" i="21" s="1"/>
  <c r="J593" i="21"/>
  <c r="J592" i="21"/>
  <c r="F592" i="21"/>
  <c r="J591" i="21"/>
  <c r="F591" i="21"/>
  <c r="H591" i="21" s="1"/>
  <c r="H590" i="21"/>
  <c r="K590" i="21" s="1"/>
  <c r="J588" i="21"/>
  <c r="J587" i="21"/>
  <c r="F587" i="21"/>
  <c r="J586" i="21"/>
  <c r="F586" i="21"/>
  <c r="H586" i="21" s="1"/>
  <c r="H585" i="21"/>
  <c r="K585" i="21" s="1"/>
  <c r="J583" i="21"/>
  <c r="J582" i="21"/>
  <c r="F582" i="21"/>
  <c r="H582" i="21" s="1"/>
  <c r="J581" i="21"/>
  <c r="F581" i="21"/>
  <c r="H581" i="21" s="1"/>
  <c r="H580" i="21"/>
  <c r="K580" i="21" s="1"/>
  <c r="H576" i="21"/>
  <c r="K576" i="21" s="1"/>
  <c r="H573" i="21"/>
  <c r="K573" i="21" s="1"/>
  <c r="F570" i="21"/>
  <c r="H570" i="21" s="1"/>
  <c r="K570" i="21" s="1"/>
  <c r="H567" i="21"/>
  <c r="K567" i="21" s="1"/>
  <c r="H566" i="21"/>
  <c r="K566" i="21" s="1"/>
  <c r="H565" i="21"/>
  <c r="K565" i="21" s="1"/>
  <c r="H564" i="21"/>
  <c r="K564" i="21" s="1"/>
  <c r="H563" i="21"/>
  <c r="K563" i="21" s="1"/>
  <c r="H562" i="21"/>
  <c r="K562" i="21" s="1"/>
  <c r="H561" i="21"/>
  <c r="K561" i="21" s="1"/>
  <c r="H560" i="21"/>
  <c r="K560" i="21" s="1"/>
  <c r="H559" i="21"/>
  <c r="K559" i="21" s="1"/>
  <c r="H558" i="21"/>
  <c r="K558" i="21" s="1"/>
  <c r="H555" i="21"/>
  <c r="K555" i="21" s="1"/>
  <c r="H552" i="21"/>
  <c r="K552" i="21" s="1"/>
  <c r="H551" i="21"/>
  <c r="K551" i="21" s="1"/>
  <c r="H550" i="21"/>
  <c r="K550" i="21" s="1"/>
  <c r="H549" i="21"/>
  <c r="K549" i="21" s="1"/>
  <c r="H548" i="21"/>
  <c r="K548" i="21" s="1"/>
  <c r="H547" i="21"/>
  <c r="K547" i="21" s="1"/>
  <c r="H546" i="21"/>
  <c r="K546" i="21" s="1"/>
  <c r="H545" i="21"/>
  <c r="K545" i="21" s="1"/>
  <c r="H544" i="21"/>
  <c r="K544" i="21" s="1"/>
  <c r="H543" i="21"/>
  <c r="K543" i="21" s="1"/>
  <c r="H540" i="21"/>
  <c r="K540" i="21" s="1"/>
  <c r="H539" i="21"/>
  <c r="K539" i="21" s="1"/>
  <c r="H538" i="21"/>
  <c r="K538" i="21" s="1"/>
  <c r="H537" i="21"/>
  <c r="K537" i="21" s="1"/>
  <c r="H536" i="21"/>
  <c r="K536" i="21" s="1"/>
  <c r="H535" i="21"/>
  <c r="K535" i="21" s="1"/>
  <c r="H534" i="21"/>
  <c r="K534" i="21" s="1"/>
  <c r="H533" i="21"/>
  <c r="K533" i="21" s="1"/>
  <c r="H532" i="21"/>
  <c r="K532" i="21" s="1"/>
  <c r="H531" i="21"/>
  <c r="K531" i="21" s="1"/>
  <c r="H530" i="21"/>
  <c r="K530" i="21" s="1"/>
  <c r="H529" i="21"/>
  <c r="K529" i="21" s="1"/>
  <c r="H528" i="21"/>
  <c r="K528" i="21" s="1"/>
  <c r="H527" i="21"/>
  <c r="K527" i="21" s="1"/>
  <c r="H524" i="21"/>
  <c r="K524" i="21" s="1"/>
  <c r="H523" i="21"/>
  <c r="K523" i="21" s="1"/>
  <c r="H522" i="21"/>
  <c r="K522" i="21" s="1"/>
  <c r="H521" i="21"/>
  <c r="K521" i="21" s="1"/>
  <c r="H520" i="21"/>
  <c r="K520" i="21" s="1"/>
  <c r="H519" i="21"/>
  <c r="K519" i="21" s="1"/>
  <c r="H518" i="21"/>
  <c r="K518" i="21" s="1"/>
  <c r="H517" i="21"/>
  <c r="K517" i="21" s="1"/>
  <c r="H514" i="21"/>
  <c r="K514" i="21" s="1"/>
  <c r="J513" i="21"/>
  <c r="F513" i="21"/>
  <c r="H513" i="21" s="1"/>
  <c r="F512" i="21"/>
  <c r="H512" i="21" s="1"/>
  <c r="K512" i="21" s="1"/>
  <c r="J511" i="21"/>
  <c r="F511" i="21"/>
  <c r="H511" i="21" s="1"/>
  <c r="J510" i="21"/>
  <c r="F510" i="21"/>
  <c r="H510" i="21" s="1"/>
  <c r="H507" i="21"/>
  <c r="K507" i="21" s="1"/>
  <c r="J506" i="21"/>
  <c r="F506" i="21"/>
  <c r="H506" i="21" s="1"/>
  <c r="F505" i="21"/>
  <c r="H505" i="21" s="1"/>
  <c r="K505" i="21" s="1"/>
  <c r="J504" i="21"/>
  <c r="F504" i="21"/>
  <c r="H504" i="21" s="1"/>
  <c r="J503" i="21"/>
  <c r="F503" i="21"/>
  <c r="H503" i="21" s="1"/>
  <c r="H500" i="21"/>
  <c r="K500" i="21" s="1"/>
  <c r="J499" i="21"/>
  <c r="F499" i="21"/>
  <c r="H499" i="21" s="1"/>
  <c r="F498" i="21"/>
  <c r="H498" i="21" s="1"/>
  <c r="K498" i="21" s="1"/>
  <c r="J497" i="21"/>
  <c r="F497" i="21"/>
  <c r="H497" i="21" s="1"/>
  <c r="J496" i="21"/>
  <c r="F496" i="21"/>
  <c r="H496" i="21" s="1"/>
  <c r="H493" i="21"/>
  <c r="K493" i="21" s="1"/>
  <c r="J492" i="21"/>
  <c r="H492" i="21"/>
  <c r="F492" i="21"/>
  <c r="F491" i="21"/>
  <c r="H491" i="21" s="1"/>
  <c r="K491" i="21" s="1"/>
  <c r="J490" i="21"/>
  <c r="F490" i="21"/>
  <c r="H490" i="21" s="1"/>
  <c r="J489" i="21"/>
  <c r="F489" i="21"/>
  <c r="H489" i="21" s="1"/>
  <c r="H486" i="21"/>
  <c r="K486" i="21" s="1"/>
  <c r="F485" i="21"/>
  <c r="H485" i="21" s="1"/>
  <c r="K485" i="21" s="1"/>
  <c r="F484" i="21"/>
  <c r="J483" i="21"/>
  <c r="F483" i="21"/>
  <c r="H483" i="21" s="1"/>
  <c r="J482" i="21"/>
  <c r="F482" i="21"/>
  <c r="H482" i="21" s="1"/>
  <c r="J479" i="21"/>
  <c r="F479" i="21"/>
  <c r="H479" i="21" s="1"/>
  <c r="J472" i="21"/>
  <c r="J471" i="21"/>
  <c r="F471" i="21"/>
  <c r="H471" i="21" s="1"/>
  <c r="F470" i="21"/>
  <c r="H470" i="21" s="1"/>
  <c r="K470" i="21" s="1"/>
  <c r="F469" i="21"/>
  <c r="H469" i="21" s="1"/>
  <c r="K469" i="21" s="1"/>
  <c r="J468" i="21"/>
  <c r="F468" i="21"/>
  <c r="H467" i="21"/>
  <c r="K467" i="21" s="1"/>
  <c r="H466" i="21"/>
  <c r="K466" i="21" s="1"/>
  <c r="H461" i="21"/>
  <c r="K461" i="21" s="1"/>
  <c r="H460" i="21"/>
  <c r="K460" i="21" s="1"/>
  <c r="H459" i="21"/>
  <c r="K459" i="21" s="1"/>
  <c r="H458" i="21"/>
  <c r="K458" i="21" s="1"/>
  <c r="H457" i="21"/>
  <c r="K457" i="21" s="1"/>
  <c r="H456" i="21"/>
  <c r="K456" i="21" s="1"/>
  <c r="J452" i="21"/>
  <c r="J451" i="21"/>
  <c r="J450" i="21"/>
  <c r="F449" i="21"/>
  <c r="F450" i="21" s="1"/>
  <c r="J447" i="21"/>
  <c r="J446" i="21"/>
  <c r="J445" i="21"/>
  <c r="F444" i="21"/>
  <c r="F445" i="21" s="1"/>
  <c r="J442" i="21"/>
  <c r="J440" i="21"/>
  <c r="F439" i="21"/>
  <c r="F440" i="21" s="1"/>
  <c r="H434" i="21"/>
  <c r="K434" i="21" s="1"/>
  <c r="H433" i="21"/>
  <c r="K433" i="21" s="1"/>
  <c r="H432" i="21"/>
  <c r="K432" i="21" s="1"/>
  <c r="H431" i="21"/>
  <c r="K431" i="21" s="1"/>
  <c r="J428" i="21"/>
  <c r="F427" i="21"/>
  <c r="H427" i="21" s="1"/>
  <c r="K427" i="21" s="1"/>
  <c r="J426" i="21"/>
  <c r="F426" i="21"/>
  <c r="H425" i="21"/>
  <c r="K425" i="21" s="1"/>
  <c r="H420" i="21"/>
  <c r="K420" i="21" s="1"/>
  <c r="H419" i="21"/>
  <c r="K419" i="21" s="1"/>
  <c r="H418" i="21"/>
  <c r="K418" i="21" s="1"/>
  <c r="H417" i="21"/>
  <c r="K417" i="21" s="1"/>
  <c r="H416" i="21"/>
  <c r="K416" i="21" s="1"/>
  <c r="H415" i="21"/>
  <c r="K415" i="21" s="1"/>
  <c r="H414" i="21"/>
  <c r="K414" i="21" s="1"/>
  <c r="H413" i="21"/>
  <c r="K413" i="21" s="1"/>
  <c r="H412" i="21"/>
  <c r="K412" i="21" s="1"/>
  <c r="H411" i="21"/>
  <c r="K411" i="21" s="1"/>
  <c r="H410" i="21"/>
  <c r="K410" i="21" s="1"/>
  <c r="H409" i="21"/>
  <c r="K409" i="21" s="1"/>
  <c r="H408" i="21"/>
  <c r="K408" i="21" s="1"/>
  <c r="J404" i="21"/>
  <c r="J403" i="21"/>
  <c r="F403" i="21"/>
  <c r="H403" i="21" s="1"/>
  <c r="J402" i="21"/>
  <c r="F402" i="21"/>
  <c r="J401" i="21"/>
  <c r="H401" i="21"/>
  <c r="J399" i="21"/>
  <c r="J398" i="21"/>
  <c r="F398" i="21"/>
  <c r="H398" i="21" s="1"/>
  <c r="J397" i="21"/>
  <c r="F397" i="21"/>
  <c r="H396" i="21"/>
  <c r="K396" i="21" s="1"/>
  <c r="J394" i="21"/>
  <c r="J393" i="21"/>
  <c r="J392" i="21"/>
  <c r="F391" i="21"/>
  <c r="F392" i="21" s="1"/>
  <c r="J389" i="21"/>
  <c r="J388" i="21"/>
  <c r="F388" i="21"/>
  <c r="J387" i="21"/>
  <c r="F387" i="21"/>
  <c r="H387" i="21" s="1"/>
  <c r="H386" i="21"/>
  <c r="K386" i="21" s="1"/>
  <c r="J384" i="21"/>
  <c r="J383" i="21"/>
  <c r="F383" i="21"/>
  <c r="H383" i="21" s="1"/>
  <c r="J382" i="21"/>
  <c r="F382" i="21"/>
  <c r="H381" i="21"/>
  <c r="K381" i="21" s="1"/>
  <c r="J379" i="21"/>
  <c r="J378" i="21"/>
  <c r="F378" i="21"/>
  <c r="H378" i="21" s="1"/>
  <c r="J377" i="21"/>
  <c r="F377" i="21"/>
  <c r="H376" i="21"/>
  <c r="K376" i="21" s="1"/>
  <c r="H371" i="21"/>
  <c r="K371" i="21" s="1"/>
  <c r="H370" i="21"/>
  <c r="K370" i="21" s="1"/>
  <c r="H369" i="21"/>
  <c r="K369" i="21" s="1"/>
  <c r="J366" i="21"/>
  <c r="F366" i="21"/>
  <c r="H366" i="21" s="1"/>
  <c r="J365" i="21"/>
  <c r="J364" i="21"/>
  <c r="F364" i="21"/>
  <c r="J363" i="21"/>
  <c r="F363" i="21"/>
  <c r="H363" i="21" s="1"/>
  <c r="H362" i="21"/>
  <c r="K362" i="21" s="1"/>
  <c r="F360" i="21"/>
  <c r="H360" i="21" s="1"/>
  <c r="K360" i="21" s="1"/>
  <c r="J359" i="21"/>
  <c r="J358" i="21"/>
  <c r="F358" i="21"/>
  <c r="J357" i="21"/>
  <c r="F357" i="21"/>
  <c r="H357" i="21" s="1"/>
  <c r="H356" i="21"/>
  <c r="K356" i="21" s="1"/>
  <c r="H351" i="21"/>
  <c r="K351" i="21" s="1"/>
  <c r="H350" i="21"/>
  <c r="K350" i="21" s="1"/>
  <c r="H349" i="21"/>
  <c r="K349" i="21" s="1"/>
  <c r="H348" i="21"/>
  <c r="K348" i="21" s="1"/>
  <c r="H347" i="21"/>
  <c r="K347" i="21" s="1"/>
  <c r="H346" i="21"/>
  <c r="K346" i="21" s="1"/>
  <c r="J343" i="21"/>
  <c r="F343" i="21"/>
  <c r="H343" i="21" s="1"/>
  <c r="H342" i="21"/>
  <c r="K342" i="21" s="1"/>
  <c r="J339" i="21"/>
  <c r="F339" i="21"/>
  <c r="H338" i="21"/>
  <c r="K338" i="21" s="1"/>
  <c r="F335" i="21"/>
  <c r="H335" i="21" s="1"/>
  <c r="K335" i="21" s="1"/>
  <c r="J334" i="21"/>
  <c r="F334" i="21"/>
  <c r="H334" i="21" s="1"/>
  <c r="F333" i="21"/>
  <c r="H333" i="21" s="1"/>
  <c r="K333" i="21" s="1"/>
  <c r="J332" i="21"/>
  <c r="F332" i="21"/>
  <c r="H332" i="21" s="1"/>
  <c r="H331" i="21"/>
  <c r="K331" i="21" s="1"/>
  <c r="H328" i="21"/>
  <c r="K328" i="21" s="1"/>
  <c r="H327" i="21"/>
  <c r="K327" i="21" s="1"/>
  <c r="J324" i="21"/>
  <c r="J323" i="21"/>
  <c r="F323" i="21"/>
  <c r="H323" i="21" s="1"/>
  <c r="J322" i="21"/>
  <c r="F322" i="21"/>
  <c r="H322" i="21" s="1"/>
  <c r="J321" i="21"/>
  <c r="F321" i="21"/>
  <c r="H321" i="21" s="1"/>
  <c r="H320" i="21"/>
  <c r="K320" i="21" s="1"/>
  <c r="J317" i="21"/>
  <c r="J316" i="21"/>
  <c r="F316" i="21"/>
  <c r="H316" i="21" s="1"/>
  <c r="J315" i="21"/>
  <c r="F315" i="21"/>
  <c r="H315" i="21" s="1"/>
  <c r="J314" i="21"/>
  <c r="F314" i="21"/>
  <c r="H313" i="21"/>
  <c r="K313" i="21" s="1"/>
  <c r="J311" i="21"/>
  <c r="J310" i="21"/>
  <c r="F310" i="21"/>
  <c r="H310" i="21" s="1"/>
  <c r="J309" i="21"/>
  <c r="F309" i="21"/>
  <c r="H309" i="21" s="1"/>
  <c r="J308" i="21"/>
  <c r="F308" i="21"/>
  <c r="H308" i="21" s="1"/>
  <c r="H307" i="21"/>
  <c r="K307" i="21" s="1"/>
  <c r="J305" i="21"/>
  <c r="J304" i="21"/>
  <c r="F304" i="21"/>
  <c r="H304" i="21" s="1"/>
  <c r="J303" i="21"/>
  <c r="F303" i="21"/>
  <c r="H303" i="21" s="1"/>
  <c r="J302" i="21"/>
  <c r="F302" i="21"/>
  <c r="H302" i="21" s="1"/>
  <c r="H301" i="21"/>
  <c r="K301" i="21" s="1"/>
  <c r="J295" i="21"/>
  <c r="F295" i="21"/>
  <c r="H295" i="21" s="1"/>
  <c r="J294" i="21"/>
  <c r="F294" i="21"/>
  <c r="H294" i="21" s="1"/>
  <c r="J293" i="21"/>
  <c r="F293" i="21"/>
  <c r="H293" i="21" s="1"/>
  <c r="J292" i="21"/>
  <c r="F292" i="21"/>
  <c r="H292" i="21" s="1"/>
  <c r="J291" i="21"/>
  <c r="F291" i="21"/>
  <c r="H291" i="21" s="1"/>
  <c r="J290" i="21"/>
  <c r="F290" i="21"/>
  <c r="H290" i="21" s="1"/>
  <c r="J286" i="21"/>
  <c r="F286" i="21"/>
  <c r="H286" i="21" s="1"/>
  <c r="J285" i="21"/>
  <c r="F285" i="21"/>
  <c r="H285" i="21" s="1"/>
  <c r="J284" i="21"/>
  <c r="F284" i="21"/>
  <c r="H284" i="21" s="1"/>
  <c r="F281" i="21"/>
  <c r="H281" i="21" s="1"/>
  <c r="K281" i="21" s="1"/>
  <c r="J280" i="21"/>
  <c r="F280" i="21"/>
  <c r="H280" i="21" s="1"/>
  <c r="J279" i="21"/>
  <c r="F279" i="21"/>
  <c r="H279" i="21" s="1"/>
  <c r="J276" i="21"/>
  <c r="F276" i="21"/>
  <c r="H276" i="21" s="1"/>
  <c r="F274" i="21"/>
  <c r="F273" i="21"/>
  <c r="H273" i="21" s="1"/>
  <c r="K273" i="21" s="1"/>
  <c r="J272" i="21"/>
  <c r="F272" i="21"/>
  <c r="H272" i="21" s="1"/>
  <c r="J271" i="21"/>
  <c r="F271" i="21"/>
  <c r="H271" i="21" s="1"/>
  <c r="H264" i="21"/>
  <c r="K264" i="21" s="1"/>
  <c r="H263" i="21"/>
  <c r="K263" i="21" s="1"/>
  <c r="H260" i="21"/>
  <c r="K260" i="21" s="1"/>
  <c r="H257" i="21"/>
  <c r="K257" i="21" s="1"/>
  <c r="H256" i="21"/>
  <c r="K256" i="21" s="1"/>
  <c r="H255" i="21"/>
  <c r="K255" i="21" s="1"/>
  <c r="H254" i="21"/>
  <c r="K254" i="21" s="1"/>
  <c r="H253" i="21"/>
  <c r="K253" i="21" s="1"/>
  <c r="H250" i="21"/>
  <c r="K250" i="21" s="1"/>
  <c r="H247" i="21"/>
  <c r="K247" i="21" s="1"/>
  <c r="H244" i="21"/>
  <c r="K244" i="21" s="1"/>
  <c r="H243" i="21"/>
  <c r="K243" i="21" s="1"/>
  <c r="H240" i="21"/>
  <c r="K240" i="21" s="1"/>
  <c r="H239" i="21"/>
  <c r="K239" i="21" s="1"/>
  <c r="F236" i="21"/>
  <c r="F235" i="21"/>
  <c r="H234" i="21"/>
  <c r="K234" i="21" s="1"/>
  <c r="H231" i="21"/>
  <c r="K231" i="21" s="1"/>
  <c r="J228" i="21"/>
  <c r="F228" i="21"/>
  <c r="H228" i="21" s="1"/>
  <c r="F227" i="21"/>
  <c r="H227" i="21" s="1"/>
  <c r="K227" i="21" s="1"/>
  <c r="H226" i="21"/>
  <c r="K226" i="21" s="1"/>
  <c r="J224" i="21"/>
  <c r="F224" i="21"/>
  <c r="H223" i="21"/>
  <c r="K223" i="21" s="1"/>
  <c r="J217" i="21"/>
  <c r="F216" i="21"/>
  <c r="F217" i="21" s="1"/>
  <c r="J214" i="21"/>
  <c r="F214" i="21"/>
  <c r="H214" i="21" s="1"/>
  <c r="J213" i="21"/>
  <c r="F213" i="21"/>
  <c r="H213" i="21" s="1"/>
  <c r="J212" i="21"/>
  <c r="F212" i="21"/>
  <c r="H212" i="21" s="1"/>
  <c r="J211" i="21"/>
  <c r="H211" i="21"/>
  <c r="J210" i="21"/>
  <c r="F210" i="21"/>
  <c r="J207" i="21"/>
  <c r="F207" i="21"/>
  <c r="H207" i="21" s="1"/>
  <c r="J206" i="21"/>
  <c r="F206" i="21"/>
  <c r="J205" i="21"/>
  <c r="F205" i="21"/>
  <c r="H205" i="21" s="1"/>
  <c r="J204" i="21"/>
  <c r="H204" i="21"/>
  <c r="J203" i="21"/>
  <c r="F203" i="21"/>
  <c r="H203" i="21" s="1"/>
  <c r="J200" i="21"/>
  <c r="F200" i="21"/>
  <c r="H200" i="21" s="1"/>
  <c r="J199" i="21"/>
  <c r="F199" i="21"/>
  <c r="H199" i="21" s="1"/>
  <c r="J198" i="21"/>
  <c r="F198" i="21"/>
  <c r="H198" i="21" s="1"/>
  <c r="F197" i="21"/>
  <c r="H197" i="21" s="1"/>
  <c r="K197" i="21" s="1"/>
  <c r="F196" i="21"/>
  <c r="H196" i="21" s="1"/>
  <c r="K196" i="21" s="1"/>
  <c r="H189" i="21"/>
  <c r="K189" i="21" s="1"/>
  <c r="H188" i="21"/>
  <c r="K188" i="21" s="1"/>
  <c r="H187" i="21"/>
  <c r="K187" i="21" s="1"/>
  <c r="H186" i="21"/>
  <c r="K186" i="21" s="1"/>
  <c r="H185" i="21"/>
  <c r="K185" i="21" s="1"/>
  <c r="F184" i="21"/>
  <c r="H184" i="21" s="1"/>
  <c r="K184" i="21" s="1"/>
  <c r="H183" i="21"/>
  <c r="K183" i="21" s="1"/>
  <c r="J182" i="21"/>
  <c r="H182" i="21"/>
  <c r="J176" i="21"/>
  <c r="H176" i="21"/>
  <c r="J175" i="21"/>
  <c r="F175" i="21"/>
  <c r="H175" i="21" s="1"/>
  <c r="J174" i="21"/>
  <c r="F174" i="21"/>
  <c r="J173" i="21"/>
  <c r="F173" i="21"/>
  <c r="H173" i="21" s="1"/>
  <c r="H172" i="21"/>
  <c r="D172" i="21" s="1"/>
  <c r="K172" i="21" s="1"/>
  <c r="H167" i="21"/>
  <c r="D167" i="21" s="1"/>
  <c r="H165" i="21"/>
  <c r="K165" i="21" s="1"/>
  <c r="H163" i="21"/>
  <c r="D163" i="21" s="1"/>
  <c r="H161" i="21"/>
  <c r="D161" i="21" s="1"/>
  <c r="J156" i="21"/>
  <c r="H156" i="21"/>
  <c r="J155" i="21"/>
  <c r="F155" i="21"/>
  <c r="J154" i="21"/>
  <c r="F154" i="21"/>
  <c r="H154" i="21" s="1"/>
  <c r="J153" i="21"/>
  <c r="F153" i="21"/>
  <c r="H153" i="21" s="1"/>
  <c r="H152" i="21"/>
  <c r="D152" i="21" s="1"/>
  <c r="K152" i="21" s="1"/>
  <c r="H146" i="21"/>
  <c r="K146" i="21" s="1"/>
  <c r="J145" i="21"/>
  <c r="J144" i="21"/>
  <c r="J143" i="21"/>
  <c r="F143" i="21"/>
  <c r="H143" i="21" s="1"/>
  <c r="F142" i="21"/>
  <c r="F145" i="21" s="1"/>
  <c r="H141" i="21"/>
  <c r="K141" i="21" s="1"/>
  <c r="H135" i="21"/>
  <c r="K135" i="21" s="1"/>
  <c r="F134" i="21"/>
  <c r="H134" i="21" s="1"/>
  <c r="K134" i="21" s="1"/>
  <c r="F133" i="21"/>
  <c r="H133" i="21" s="1"/>
  <c r="K133" i="21" s="1"/>
  <c r="F132" i="21"/>
  <c r="H132" i="21" s="1"/>
  <c r="K132" i="21" s="1"/>
  <c r="J131" i="21"/>
  <c r="F131" i="21"/>
  <c r="H131" i="21" s="1"/>
  <c r="H130" i="21"/>
  <c r="D130" i="21" s="1"/>
  <c r="K130" i="21" s="1"/>
  <c r="F125" i="21"/>
  <c r="F124" i="21"/>
  <c r="H123" i="21"/>
  <c r="K123" i="21" s="1"/>
  <c r="F118" i="21"/>
  <c r="H117" i="21"/>
  <c r="K117" i="21" s="1"/>
  <c r="F116" i="21"/>
  <c r="H116" i="21" s="1"/>
  <c r="K116" i="21" s="1"/>
  <c r="H114" i="21"/>
  <c r="K114" i="21" s="1"/>
  <c r="H113" i="21"/>
  <c r="K113" i="21" s="1"/>
  <c r="H111" i="21"/>
  <c r="H110" i="21"/>
  <c r="H109" i="21"/>
  <c r="H108" i="21"/>
  <c r="K108" i="21" s="1"/>
  <c r="H106" i="21"/>
  <c r="K106" i="21" s="1"/>
  <c r="H105" i="21"/>
  <c r="K105" i="21" s="1"/>
  <c r="H104" i="21"/>
  <c r="K104" i="21" s="1"/>
  <c r="H103" i="21"/>
  <c r="K103" i="21" s="1"/>
  <c r="H102" i="21"/>
  <c r="K102" i="21" s="1"/>
  <c r="H101" i="21"/>
  <c r="K101" i="21" s="1"/>
  <c r="H100" i="21"/>
  <c r="K100" i="21" s="1"/>
  <c r="H99" i="21"/>
  <c r="K99" i="21" s="1"/>
  <c r="H98" i="21"/>
  <c r="K98" i="21" s="1"/>
  <c r="H97" i="21"/>
  <c r="K97" i="21" s="1"/>
  <c r="H96" i="21"/>
  <c r="K96" i="21" s="1"/>
  <c r="H95" i="21"/>
  <c r="K95" i="21" s="1"/>
  <c r="H94" i="21"/>
  <c r="K94" i="21" s="1"/>
  <c r="H93" i="21"/>
  <c r="K93" i="21" s="1"/>
  <c r="H92" i="21"/>
  <c r="K92" i="21" s="1"/>
  <c r="H91" i="21"/>
  <c r="K91" i="21" s="1"/>
  <c r="H90" i="21"/>
  <c r="K90" i="21" s="1"/>
  <c r="H89" i="21"/>
  <c r="K89" i="21" s="1"/>
  <c r="H88" i="21"/>
  <c r="K88" i="21" s="1"/>
  <c r="H87" i="21"/>
  <c r="K87" i="21" s="1"/>
  <c r="H86" i="21"/>
  <c r="K86" i="21" s="1"/>
  <c r="H85" i="21"/>
  <c r="K85" i="21" s="1"/>
  <c r="H84" i="21"/>
  <c r="K84" i="21" s="1"/>
  <c r="H83" i="21"/>
  <c r="K83" i="21" s="1"/>
  <c r="H82" i="21"/>
  <c r="K82" i="21" s="1"/>
  <c r="F81" i="21"/>
  <c r="H81" i="21" s="1"/>
  <c r="K81" i="21" s="1"/>
  <c r="K80" i="21"/>
  <c r="F79" i="21"/>
  <c r="H79" i="21" s="1"/>
  <c r="K79" i="21" s="1"/>
  <c r="H78" i="21"/>
  <c r="K78" i="21" s="1"/>
  <c r="H77" i="21"/>
  <c r="K77" i="21" s="1"/>
  <c r="H76" i="21"/>
  <c r="K76" i="21" s="1"/>
  <c r="H75" i="21"/>
  <c r="K75" i="21" s="1"/>
  <c r="H74" i="21"/>
  <c r="K74" i="21" s="1"/>
  <c r="H73" i="21"/>
  <c r="K73" i="21" s="1"/>
  <c r="H72" i="21"/>
  <c r="K72" i="21" s="1"/>
  <c r="H71" i="21"/>
  <c r="K71" i="21" s="1"/>
  <c r="H70" i="21"/>
  <c r="K70" i="21" s="1"/>
  <c r="H69" i="21"/>
  <c r="K69" i="21" s="1"/>
  <c r="H68" i="21"/>
  <c r="K68" i="21" s="1"/>
  <c r="H67" i="21"/>
  <c r="K67" i="21" s="1"/>
  <c r="H66" i="21"/>
  <c r="K66" i="21" s="1"/>
  <c r="H65" i="21"/>
  <c r="K65" i="21" s="1"/>
  <c r="H64" i="21"/>
  <c r="K64" i="21" s="1"/>
  <c r="H63" i="21"/>
  <c r="K63" i="21" s="1"/>
  <c r="H62" i="21"/>
  <c r="K62" i="21" s="1"/>
  <c r="H61" i="21"/>
  <c r="K61" i="21" s="1"/>
  <c r="H60" i="21"/>
  <c r="K60" i="21" s="1"/>
  <c r="H54" i="21"/>
  <c r="K54" i="21" s="1"/>
  <c r="J52" i="21"/>
  <c r="H52" i="21"/>
  <c r="J50" i="21"/>
  <c r="H50" i="21"/>
  <c r="J48" i="21"/>
  <c r="H48" i="21"/>
  <c r="H44" i="21"/>
  <c r="K44" i="21" s="1"/>
  <c r="H42" i="21"/>
  <c r="K42" i="21" s="1"/>
  <c r="H40" i="21"/>
  <c r="K40" i="21" s="1"/>
  <c r="H38" i="21"/>
  <c r="K38" i="21" s="1"/>
  <c r="H36" i="21"/>
  <c r="K36" i="21" s="1"/>
  <c r="H34" i="21"/>
  <c r="K34" i="21" s="1"/>
  <c r="F26" i="21"/>
  <c r="H26" i="21" s="1"/>
  <c r="F25" i="21"/>
  <c r="J24" i="21"/>
  <c r="J26" i="21" s="1"/>
  <c r="F24" i="21"/>
  <c r="H24" i="21" s="1"/>
  <c r="F21" i="21"/>
  <c r="H21" i="21" s="1"/>
  <c r="K21" i="21" s="1"/>
  <c r="F20" i="21"/>
  <c r="H20" i="21" s="1"/>
  <c r="K20" i="21" s="1"/>
  <c r="F19" i="21"/>
  <c r="H19" i="21" s="1"/>
  <c r="K19" i="21" s="1"/>
  <c r="F18" i="21"/>
  <c r="H18" i="21" s="1"/>
  <c r="K18" i="21" s="1"/>
  <c r="F17" i="21"/>
  <c r="H17" i="21" s="1"/>
  <c r="K17" i="21" s="1"/>
  <c r="F16" i="21"/>
  <c r="H16" i="21" s="1"/>
  <c r="K16" i="21" s="1"/>
  <c r="H13" i="21"/>
  <c r="K13" i="21" s="1"/>
  <c r="H10" i="21"/>
  <c r="K10" i="21" s="1"/>
  <c r="A9" i="21"/>
  <c r="A8" i="21"/>
  <c r="H391" i="21" l="1"/>
  <c r="K391" i="21" s="1"/>
  <c r="F393" i="21"/>
  <c r="H393" i="21" s="1"/>
  <c r="F275" i="21"/>
  <c r="H275" i="21" s="1"/>
  <c r="K275" i="21" s="1"/>
  <c r="H216" i="21"/>
  <c r="K216" i="21" s="1"/>
  <c r="H439" i="21"/>
  <c r="K439" i="21" s="1"/>
  <c r="H595" i="21"/>
  <c r="K595" i="21" s="1"/>
  <c r="F597" i="21"/>
  <c r="H597" i="21" s="1"/>
  <c r="K597" i="21" s="1"/>
  <c r="H274" i="21"/>
  <c r="K274" i="21" s="1"/>
  <c r="D216" i="21"/>
  <c r="F441" i="21"/>
  <c r="H441" i="21" s="1"/>
  <c r="K441" i="21" s="1"/>
  <c r="K511" i="21"/>
  <c r="K48" i="21"/>
  <c r="K366" i="21"/>
  <c r="K286" i="21"/>
  <c r="K294" i="21"/>
  <c r="K310" i="21"/>
  <c r="K479" i="21"/>
  <c r="K482" i="21"/>
  <c r="K490" i="21"/>
  <c r="K497" i="21"/>
  <c r="K504" i="21"/>
  <c r="K513" i="21"/>
  <c r="F593" i="21"/>
  <c r="H593" i="21" s="1"/>
  <c r="K593" i="21" s="1"/>
  <c r="K161" i="21"/>
  <c r="K271" i="21"/>
  <c r="K205" i="21"/>
  <c r="K316" i="21"/>
  <c r="K492" i="21"/>
  <c r="K499" i="21"/>
  <c r="K506" i="21"/>
  <c r="K156" i="21"/>
  <c r="F389" i="21"/>
  <c r="H389" i="21" s="1"/>
  <c r="K389" i="21" s="1"/>
  <c r="F399" i="21"/>
  <c r="H399" i="21" s="1"/>
  <c r="K399" i="21" s="1"/>
  <c r="F404" i="21"/>
  <c r="H404" i="21" s="1"/>
  <c r="K404" i="21" s="1"/>
  <c r="F598" i="21"/>
  <c r="H598" i="21" s="1"/>
  <c r="K598" i="21" s="1"/>
  <c r="K602" i="21"/>
  <c r="K143" i="21"/>
  <c r="K176" i="21"/>
  <c r="K211" i="21"/>
  <c r="K323" i="21"/>
  <c r="K279" i="21"/>
  <c r="K167" i="21"/>
  <c r="K173" i="21"/>
  <c r="K204" i="21"/>
  <c r="K228" i="21"/>
  <c r="K295" i="21"/>
  <c r="K322" i="21"/>
  <c r="K332" i="21"/>
  <c r="K334" i="21"/>
  <c r="K383" i="21"/>
  <c r="H397" i="21"/>
  <c r="K397" i="21" s="1"/>
  <c r="K401" i="21"/>
  <c r="K154" i="21"/>
  <c r="K303" i="21"/>
  <c r="K581" i="21"/>
  <c r="K50" i="21"/>
  <c r="K213" i="21"/>
  <c r="K304" i="21"/>
  <c r="F365" i="21"/>
  <c r="H365" i="21" s="1"/>
  <c r="K365" i="21" s="1"/>
  <c r="K393" i="21"/>
  <c r="H402" i="21"/>
  <c r="K402" i="21" s="1"/>
  <c r="K471" i="21"/>
  <c r="H592" i="21"/>
  <c r="K592" i="21" s="1"/>
  <c r="L644" i="21"/>
  <c r="E74" i="13" s="1"/>
  <c r="K153" i="21"/>
  <c r="K285" i="21"/>
  <c r="K293" i="21"/>
  <c r="F317" i="21"/>
  <c r="H317" i="21" s="1"/>
  <c r="K317" i="21" s="1"/>
  <c r="K52" i="21"/>
  <c r="K182" i="21"/>
  <c r="L192" i="21" s="1"/>
  <c r="E63" i="13" s="1"/>
  <c r="K198" i="21"/>
  <c r="K199" i="21"/>
  <c r="K203" i="21"/>
  <c r="K207" i="21"/>
  <c r="K214" i="21"/>
  <c r="K284" i="21"/>
  <c r="K292" i="21"/>
  <c r="H314" i="21"/>
  <c r="K314" i="21" s="1"/>
  <c r="K315" i="21"/>
  <c r="K378" i="21"/>
  <c r="F428" i="21"/>
  <c r="H428" i="21" s="1"/>
  <c r="K428" i="21" s="1"/>
  <c r="K483" i="21"/>
  <c r="K586" i="21"/>
  <c r="K601" i="21"/>
  <c r="K603" i="21"/>
  <c r="K131" i="21"/>
  <c r="L138" i="21" s="1"/>
  <c r="E58" i="13" s="1"/>
  <c r="K200" i="21"/>
  <c r="K276" i="21"/>
  <c r="K309" i="21"/>
  <c r="H364" i="21"/>
  <c r="K364" i="21" s="1"/>
  <c r="K26" i="21"/>
  <c r="D165" i="21"/>
  <c r="K175" i="21"/>
  <c r="K212" i="21"/>
  <c r="K272" i="21"/>
  <c r="K291" i="21"/>
  <c r="F379" i="21"/>
  <c r="H379" i="21" s="1"/>
  <c r="K379" i="21" s="1"/>
  <c r="K398" i="21"/>
  <c r="K403" i="21"/>
  <c r="K489" i="21"/>
  <c r="K496" i="21"/>
  <c r="K503" i="21"/>
  <c r="K510" i="21"/>
  <c r="K582" i="21"/>
  <c r="F588" i="21"/>
  <c r="H588" i="21" s="1"/>
  <c r="K588" i="21" s="1"/>
  <c r="K591" i="21"/>
  <c r="K596" i="21"/>
  <c r="H145" i="21"/>
  <c r="K145" i="21" s="1"/>
  <c r="H217" i="21"/>
  <c r="K217" i="21" s="1"/>
  <c r="H25" i="21"/>
  <c r="A10" i="21"/>
  <c r="K24" i="21"/>
  <c r="J25" i="21"/>
  <c r="H118" i="21"/>
  <c r="K118" i="21" s="1"/>
  <c r="L120" i="21" s="1"/>
  <c r="E56" i="13" s="1"/>
  <c r="H124" i="21"/>
  <c r="K124" i="21" s="1"/>
  <c r="H125" i="21"/>
  <c r="K125" i="21" s="1"/>
  <c r="H142" i="21"/>
  <c r="D142" i="21" s="1"/>
  <c r="K142" i="21" s="1"/>
  <c r="H155" i="21"/>
  <c r="K155" i="21" s="1"/>
  <c r="K163" i="21"/>
  <c r="H174" i="21"/>
  <c r="K174" i="21" s="1"/>
  <c r="H206" i="21"/>
  <c r="K206" i="21" s="1"/>
  <c r="H210" i="21"/>
  <c r="K210" i="21" s="1"/>
  <c r="H224" i="21"/>
  <c r="K224" i="21" s="1"/>
  <c r="H235" i="21"/>
  <c r="K235" i="21" s="1"/>
  <c r="H236" i="21"/>
  <c r="K236" i="21" s="1"/>
  <c r="K280" i="21"/>
  <c r="K290" i="21"/>
  <c r="K302" i="21"/>
  <c r="K308" i="21"/>
  <c r="K387" i="21"/>
  <c r="H440" i="21"/>
  <c r="K440" i="21" s="1"/>
  <c r="H445" i="21"/>
  <c r="K445" i="21" s="1"/>
  <c r="F29" i="21"/>
  <c r="F144" i="21"/>
  <c r="F305" i="21"/>
  <c r="F311" i="21"/>
  <c r="K321" i="21"/>
  <c r="K343" i="21"/>
  <c r="K357" i="21"/>
  <c r="K363" i="21"/>
  <c r="H382" i="21"/>
  <c r="K382" i="21" s="1"/>
  <c r="F384" i="21"/>
  <c r="F394" i="21"/>
  <c r="H392" i="21"/>
  <c r="K392" i="21" s="1"/>
  <c r="H450" i="21"/>
  <c r="K450" i="21" s="1"/>
  <c r="H339" i="21"/>
  <c r="K339" i="21" s="1"/>
  <c r="F359" i="21"/>
  <c r="H358" i="21"/>
  <c r="K358" i="21" s="1"/>
  <c r="F324" i="21"/>
  <c r="H377" i="21"/>
  <c r="K377" i="21" s="1"/>
  <c r="H426" i="21"/>
  <c r="K426" i="21" s="1"/>
  <c r="H444" i="21"/>
  <c r="K444" i="21" s="1"/>
  <c r="F446" i="21"/>
  <c r="F447" i="21" s="1"/>
  <c r="H449" i="21"/>
  <c r="K449" i="21" s="1"/>
  <c r="F451" i="21"/>
  <c r="F472" i="21"/>
  <c r="H468" i="21"/>
  <c r="K468" i="21" s="1"/>
  <c r="H388" i="21"/>
  <c r="K388" i="21" s="1"/>
  <c r="H484" i="21"/>
  <c r="K484" i="21" s="1"/>
  <c r="F583" i="21"/>
  <c r="H587" i="21"/>
  <c r="K587" i="21" s="1"/>
  <c r="J1323" i="12"/>
  <c r="J1380" i="12"/>
  <c r="H1380" i="12"/>
  <c r="K1380" i="12" s="1"/>
  <c r="F1380" i="12"/>
  <c r="A13" i="21" l="1"/>
  <c r="F442" i="21"/>
  <c r="L179" i="21"/>
  <c r="E62" i="13" s="1"/>
  <c r="L169" i="21"/>
  <c r="E61" i="13" s="1"/>
  <c r="L158" i="21"/>
  <c r="E60" i="13" s="1"/>
  <c r="L436" i="21"/>
  <c r="E70" i="13" s="1"/>
  <c r="L297" i="21"/>
  <c r="E66" i="13" s="1"/>
  <c r="L219" i="21"/>
  <c r="E64" i="13" s="1"/>
  <c r="K25" i="21"/>
  <c r="L127" i="21"/>
  <c r="E57" i="13" s="1"/>
  <c r="L266" i="21"/>
  <c r="E65" i="13" s="1"/>
  <c r="H447" i="21"/>
  <c r="K447" i="21" s="1"/>
  <c r="H583" i="21"/>
  <c r="K583" i="21" s="1"/>
  <c r="L639" i="21" s="1"/>
  <c r="E73" i="13" s="1"/>
  <c r="H451" i="21"/>
  <c r="K451" i="21" s="1"/>
  <c r="H359" i="21"/>
  <c r="K359" i="21" s="1"/>
  <c r="L373" i="21" s="1"/>
  <c r="E68" i="13" s="1"/>
  <c r="H472" i="21"/>
  <c r="K472" i="21" s="1"/>
  <c r="L474" i="21" s="1"/>
  <c r="E72" i="13" s="1"/>
  <c r="F452" i="21"/>
  <c r="H311" i="21"/>
  <c r="K311" i="21" s="1"/>
  <c r="H442" i="21"/>
  <c r="K442" i="21" s="1"/>
  <c r="H394" i="21"/>
  <c r="K394" i="21" s="1"/>
  <c r="H446" i="21"/>
  <c r="K446" i="21" s="1"/>
  <c r="H324" i="21"/>
  <c r="K324" i="21" s="1"/>
  <c r="H384" i="21"/>
  <c r="K384" i="21" s="1"/>
  <c r="H305" i="21"/>
  <c r="K305" i="21" s="1"/>
  <c r="H144" i="21"/>
  <c r="K144" i="21" s="1"/>
  <c r="L149" i="21" s="1"/>
  <c r="E59" i="13" s="1"/>
  <c r="H29" i="21"/>
  <c r="K29" i="21" s="1"/>
  <c r="A16" i="21" l="1"/>
  <c r="L56" i="21"/>
  <c r="E55" i="13" s="1"/>
  <c r="L353" i="21"/>
  <c r="E67" i="13" s="1"/>
  <c r="H452" i="21"/>
  <c r="K452" i="21" s="1"/>
  <c r="L463" i="21" s="1"/>
  <c r="E71" i="13" s="1"/>
  <c r="L422" i="21"/>
  <c r="A1516" i="12"/>
  <c r="A1517" i="12"/>
  <c r="H1473" i="12"/>
  <c r="K1473" i="12" s="1"/>
  <c r="H1468" i="12"/>
  <c r="K1468" i="12" s="1"/>
  <c r="A573" i="19"/>
  <c r="A572" i="19"/>
  <c r="A571" i="19"/>
  <c r="A570" i="19"/>
  <c r="J569" i="19"/>
  <c r="F569" i="19"/>
  <c r="J568" i="19"/>
  <c r="H568" i="19"/>
  <c r="J567" i="19"/>
  <c r="H567" i="19"/>
  <c r="F567" i="19"/>
  <c r="J566" i="19"/>
  <c r="K566" i="19" s="1"/>
  <c r="F566" i="19"/>
  <c r="H566" i="19" s="1"/>
  <c r="J565" i="19"/>
  <c r="J564" i="19"/>
  <c r="F564" i="19"/>
  <c r="J563" i="19"/>
  <c r="H563" i="19"/>
  <c r="K563" i="19" s="1"/>
  <c r="H562" i="19"/>
  <c r="D562" i="19" s="1"/>
  <c r="K562" i="19" s="1"/>
  <c r="A561" i="19"/>
  <c r="A560" i="19"/>
  <c r="H559" i="19"/>
  <c r="K559" i="19" s="1"/>
  <c r="F559" i="19"/>
  <c r="H558" i="19"/>
  <c r="K558" i="19" s="1"/>
  <c r="F558" i="19"/>
  <c r="J557" i="19"/>
  <c r="H557" i="19"/>
  <c r="J556" i="19"/>
  <c r="F556" i="19"/>
  <c r="J555" i="19"/>
  <c r="H555" i="19"/>
  <c r="K555" i="19" s="1"/>
  <c r="F555" i="19"/>
  <c r="J554" i="19"/>
  <c r="F554" i="19"/>
  <c r="H554" i="19" s="1"/>
  <c r="J553" i="19"/>
  <c r="K553" i="19" s="1"/>
  <c r="H553" i="19"/>
  <c r="F553" i="19"/>
  <c r="A552" i="19"/>
  <c r="A551" i="19"/>
  <c r="J550" i="19"/>
  <c r="H550" i="19"/>
  <c r="H549" i="19"/>
  <c r="D549" i="19" s="1"/>
  <c r="K549" i="19" s="1"/>
  <c r="A548" i="19"/>
  <c r="A547" i="19"/>
  <c r="J546" i="19"/>
  <c r="H546" i="19"/>
  <c r="F546" i="19"/>
  <c r="J545" i="19"/>
  <c r="K545" i="19" s="1"/>
  <c r="F545" i="19"/>
  <c r="H545" i="19" s="1"/>
  <c r="J544" i="19"/>
  <c r="H544" i="19"/>
  <c r="K544" i="19" s="1"/>
  <c r="F544" i="19"/>
  <c r="A543" i="19"/>
  <c r="A542" i="19"/>
  <c r="J541" i="19"/>
  <c r="K541" i="19" s="1"/>
  <c r="F541" i="19"/>
  <c r="H541" i="19" s="1"/>
  <c r="J540" i="19"/>
  <c r="H540" i="19"/>
  <c r="K540" i="19" s="1"/>
  <c r="F540" i="19"/>
  <c r="J539" i="19"/>
  <c r="F539" i="19"/>
  <c r="J538" i="19"/>
  <c r="H538" i="19"/>
  <c r="F538" i="19"/>
  <c r="A537" i="19"/>
  <c r="J536" i="19"/>
  <c r="H536" i="19"/>
  <c r="F536" i="19"/>
  <c r="J535" i="19"/>
  <c r="F535" i="19"/>
  <c r="J534" i="19"/>
  <c r="H534" i="19"/>
  <c r="F534" i="19"/>
  <c r="J533" i="19"/>
  <c r="F533" i="19"/>
  <c r="H533" i="19" s="1"/>
  <c r="A532" i="19"/>
  <c r="J531" i="19"/>
  <c r="F531" i="19"/>
  <c r="J530" i="19"/>
  <c r="H530" i="19"/>
  <c r="F530" i="19"/>
  <c r="J529" i="19"/>
  <c r="F529" i="19"/>
  <c r="H529" i="19" s="1"/>
  <c r="J528" i="19"/>
  <c r="H528" i="19"/>
  <c r="K528" i="19" s="1"/>
  <c r="F528" i="19"/>
  <c r="J527" i="19"/>
  <c r="F527" i="19"/>
  <c r="J526" i="19"/>
  <c r="H526" i="19"/>
  <c r="K526" i="19" s="1"/>
  <c r="F526" i="19"/>
  <c r="A525" i="19"/>
  <c r="J524" i="19"/>
  <c r="H524" i="19"/>
  <c r="F524" i="19"/>
  <c r="J523" i="19"/>
  <c r="F523" i="19"/>
  <c r="J522" i="19"/>
  <c r="H522" i="19"/>
  <c r="F522" i="19"/>
  <c r="J521" i="19"/>
  <c r="F521" i="19"/>
  <c r="H521" i="19" s="1"/>
  <c r="J520" i="19"/>
  <c r="K520" i="19" s="1"/>
  <c r="H520" i="19"/>
  <c r="F520" i="19"/>
  <c r="J519" i="19"/>
  <c r="F519" i="19"/>
  <c r="A518" i="19"/>
  <c r="J517" i="19"/>
  <c r="F517" i="19"/>
  <c r="H517" i="19" s="1"/>
  <c r="J516" i="19"/>
  <c r="K516" i="19" s="1"/>
  <c r="H516" i="19"/>
  <c r="F516" i="19"/>
  <c r="J515" i="19"/>
  <c r="F515" i="19"/>
  <c r="J514" i="19"/>
  <c r="H514" i="19"/>
  <c r="F514" i="19"/>
  <c r="A513" i="19"/>
  <c r="J512" i="19"/>
  <c r="H512" i="19"/>
  <c r="F512" i="19"/>
  <c r="J511" i="19"/>
  <c r="F511" i="19"/>
  <c r="J510" i="19"/>
  <c r="H510" i="19"/>
  <c r="F510" i="19"/>
  <c r="J509" i="19"/>
  <c r="F509" i="19"/>
  <c r="H509" i="19" s="1"/>
  <c r="A508" i="19"/>
  <c r="J507" i="19"/>
  <c r="F507" i="19"/>
  <c r="J506" i="19"/>
  <c r="H506" i="19"/>
  <c r="F506" i="19"/>
  <c r="J505" i="19"/>
  <c r="F505" i="19"/>
  <c r="H505" i="19" s="1"/>
  <c r="J504" i="19"/>
  <c r="H504" i="19"/>
  <c r="F504" i="19"/>
  <c r="J503" i="19"/>
  <c r="F503" i="19"/>
  <c r="A502" i="19"/>
  <c r="J501" i="19"/>
  <c r="F501" i="19"/>
  <c r="K500" i="19"/>
  <c r="J500" i="19"/>
  <c r="H500" i="19"/>
  <c r="F500" i="19"/>
  <c r="J499" i="19"/>
  <c r="F499" i="19"/>
  <c r="J498" i="19"/>
  <c r="H498" i="19"/>
  <c r="K498" i="19" s="1"/>
  <c r="F498" i="19"/>
  <c r="J497" i="19"/>
  <c r="F497" i="19"/>
  <c r="A496" i="19"/>
  <c r="A495" i="19"/>
  <c r="A494" i="19"/>
  <c r="J493" i="19"/>
  <c r="F493" i="19"/>
  <c r="H493" i="19" s="1"/>
  <c r="J492" i="19"/>
  <c r="F492" i="19"/>
  <c r="H492" i="19" s="1"/>
  <c r="J491" i="19"/>
  <c r="F491" i="19"/>
  <c r="H491" i="19" s="1"/>
  <c r="B491" i="19"/>
  <c r="B492" i="19" s="1"/>
  <c r="B493" i="19" s="1"/>
  <c r="J490" i="19"/>
  <c r="A489" i="19"/>
  <c r="A488" i="19"/>
  <c r="J487" i="19"/>
  <c r="H487" i="19"/>
  <c r="A486" i="19"/>
  <c r="A485" i="19"/>
  <c r="J484" i="19"/>
  <c r="H484" i="19"/>
  <c r="F484" i="19"/>
  <c r="J483" i="19"/>
  <c r="F483" i="19"/>
  <c r="J482" i="19"/>
  <c r="F482" i="19"/>
  <c r="H482" i="19" s="1"/>
  <c r="K482" i="19" s="1"/>
  <c r="J481" i="19"/>
  <c r="K481" i="19" s="1"/>
  <c r="H481" i="19"/>
  <c r="J480" i="19"/>
  <c r="H480" i="19"/>
  <c r="K479" i="19"/>
  <c r="H479" i="19"/>
  <c r="D479" i="19"/>
  <c r="A478" i="19"/>
  <c r="J477" i="19"/>
  <c r="F477" i="19"/>
  <c r="J476" i="19"/>
  <c r="F476" i="19"/>
  <c r="H476" i="19" s="1"/>
  <c r="J475" i="19"/>
  <c r="H475" i="19"/>
  <c r="J474" i="19"/>
  <c r="H474" i="19"/>
  <c r="H473" i="19"/>
  <c r="D473" i="19"/>
  <c r="K473" i="19" s="1"/>
  <c r="A472" i="19"/>
  <c r="A471" i="19"/>
  <c r="A470" i="19"/>
  <c r="J469" i="19"/>
  <c r="F469" i="19"/>
  <c r="J468" i="19"/>
  <c r="H468" i="19"/>
  <c r="F468" i="19"/>
  <c r="J467" i="19"/>
  <c r="F467" i="19"/>
  <c r="J466" i="19"/>
  <c r="H466" i="19"/>
  <c r="F466" i="19"/>
  <c r="A465" i="19"/>
  <c r="J464" i="19"/>
  <c r="H464" i="19"/>
  <c r="F464" i="19"/>
  <c r="J463" i="19"/>
  <c r="F463" i="19"/>
  <c r="J462" i="19"/>
  <c r="H462" i="19"/>
  <c r="F462" i="19"/>
  <c r="J461" i="19"/>
  <c r="F461" i="19"/>
  <c r="A460" i="19"/>
  <c r="J459" i="19"/>
  <c r="F459" i="19"/>
  <c r="J458" i="19"/>
  <c r="H458" i="19"/>
  <c r="F458" i="19"/>
  <c r="J457" i="19"/>
  <c r="F457" i="19"/>
  <c r="J456" i="19"/>
  <c r="H456" i="19"/>
  <c r="F456" i="19"/>
  <c r="A455" i="19"/>
  <c r="J454" i="19"/>
  <c r="K454" i="19" s="1"/>
  <c r="H454" i="19"/>
  <c r="F454" i="19"/>
  <c r="J453" i="19"/>
  <c r="F453" i="19"/>
  <c r="J452" i="19"/>
  <c r="H452" i="19"/>
  <c r="F452" i="19"/>
  <c r="J451" i="19"/>
  <c r="F451" i="19"/>
  <c r="A450" i="19"/>
  <c r="J449" i="19"/>
  <c r="F449" i="19"/>
  <c r="J448" i="19"/>
  <c r="H448" i="19"/>
  <c r="F448" i="19"/>
  <c r="J447" i="19"/>
  <c r="F447" i="19"/>
  <c r="J446" i="19"/>
  <c r="K446" i="19" s="1"/>
  <c r="H446" i="19"/>
  <c r="F446" i="19"/>
  <c r="A445" i="19"/>
  <c r="J444" i="19"/>
  <c r="H444" i="19"/>
  <c r="K444" i="19" s="1"/>
  <c r="F444" i="19"/>
  <c r="J443" i="19"/>
  <c r="H443" i="19"/>
  <c r="F443" i="19"/>
  <c r="J442" i="19"/>
  <c r="H442" i="19"/>
  <c r="K442" i="19" s="1"/>
  <c r="F442" i="19"/>
  <c r="J441" i="19"/>
  <c r="K441" i="19" s="1"/>
  <c r="F441" i="19"/>
  <c r="H441" i="19" s="1"/>
  <c r="A440" i="19"/>
  <c r="J439" i="19"/>
  <c r="F439" i="19"/>
  <c r="J438" i="19"/>
  <c r="H438" i="19"/>
  <c r="F438" i="19"/>
  <c r="J437" i="19"/>
  <c r="F437" i="19"/>
  <c r="H437" i="19" s="1"/>
  <c r="J436" i="19"/>
  <c r="H436" i="19"/>
  <c r="F436" i="19"/>
  <c r="A435" i="19"/>
  <c r="A434" i="19"/>
  <c r="A433" i="19"/>
  <c r="J432" i="19"/>
  <c r="H432" i="19"/>
  <c r="F432" i="19"/>
  <c r="J431" i="19"/>
  <c r="H431" i="19"/>
  <c r="F431" i="19"/>
  <c r="J430" i="19"/>
  <c r="H430" i="19"/>
  <c r="F430" i="19"/>
  <c r="J429" i="19"/>
  <c r="F429" i="19"/>
  <c r="H429" i="19" s="1"/>
  <c r="J428" i="19"/>
  <c r="F428" i="19"/>
  <c r="J427" i="19"/>
  <c r="F427" i="19"/>
  <c r="J426" i="19"/>
  <c r="H426" i="19"/>
  <c r="F426" i="19"/>
  <c r="A425" i="19"/>
  <c r="J424" i="19"/>
  <c r="F424" i="19"/>
  <c r="H424" i="19" s="1"/>
  <c r="K424" i="19" s="1"/>
  <c r="J423" i="19"/>
  <c r="F423" i="19"/>
  <c r="J422" i="19"/>
  <c r="H422" i="19"/>
  <c r="F422" i="19"/>
  <c r="J421" i="19"/>
  <c r="F421" i="19"/>
  <c r="H421" i="19" s="1"/>
  <c r="J420" i="19"/>
  <c r="K420" i="19" s="1"/>
  <c r="H420" i="19"/>
  <c r="F420" i="19"/>
  <c r="J419" i="19"/>
  <c r="H419" i="19"/>
  <c r="F419" i="19"/>
  <c r="J418" i="19"/>
  <c r="H418" i="19"/>
  <c r="F418" i="19"/>
  <c r="J417" i="19"/>
  <c r="F417" i="19"/>
  <c r="A416" i="19"/>
  <c r="J415" i="19"/>
  <c r="F415" i="19"/>
  <c r="H415" i="19" s="1"/>
  <c r="J414" i="19"/>
  <c r="H414" i="19"/>
  <c r="F414" i="19"/>
  <c r="J413" i="19"/>
  <c r="F413" i="19"/>
  <c r="J412" i="19"/>
  <c r="H412" i="19"/>
  <c r="F412" i="19"/>
  <c r="J411" i="19"/>
  <c r="F411" i="19"/>
  <c r="H411" i="19" s="1"/>
  <c r="J410" i="19"/>
  <c r="H410" i="19"/>
  <c r="F410" i="19"/>
  <c r="J409" i="19"/>
  <c r="F409" i="19"/>
  <c r="A408" i="19"/>
  <c r="A407" i="19"/>
  <c r="A406" i="19"/>
  <c r="H405" i="19"/>
  <c r="K405" i="19" s="1"/>
  <c r="A404" i="19"/>
  <c r="A403" i="19"/>
  <c r="F402" i="19"/>
  <c r="J401" i="19"/>
  <c r="H401" i="19"/>
  <c r="F401" i="19"/>
  <c r="A400" i="19"/>
  <c r="A399" i="19"/>
  <c r="J398" i="19"/>
  <c r="F398" i="19"/>
  <c r="J397" i="19"/>
  <c r="H397" i="19"/>
  <c r="F397" i="19"/>
  <c r="J396" i="19"/>
  <c r="F396" i="19"/>
  <c r="H396" i="19" s="1"/>
  <c r="J395" i="19"/>
  <c r="K395" i="19" s="1"/>
  <c r="H395" i="19"/>
  <c r="F395" i="19"/>
  <c r="A394" i="19"/>
  <c r="J393" i="19"/>
  <c r="H393" i="19"/>
  <c r="F393" i="19"/>
  <c r="J392" i="19"/>
  <c r="F392" i="19"/>
  <c r="H392" i="19" s="1"/>
  <c r="J391" i="19"/>
  <c r="K391" i="19" s="1"/>
  <c r="H391" i="19"/>
  <c r="F391" i="19"/>
  <c r="J390" i="19"/>
  <c r="F390" i="19"/>
  <c r="J389" i="19"/>
  <c r="H389" i="19"/>
  <c r="K389" i="19" s="1"/>
  <c r="F389" i="19"/>
  <c r="A388" i="19"/>
  <c r="J387" i="19"/>
  <c r="H387" i="19"/>
  <c r="F387" i="19"/>
  <c r="J386" i="19"/>
  <c r="F386" i="19"/>
  <c r="F385" i="19"/>
  <c r="J384" i="19"/>
  <c r="H384" i="19"/>
  <c r="F384" i="19"/>
  <c r="A383" i="19"/>
  <c r="A382" i="19"/>
  <c r="A381" i="19"/>
  <c r="J380" i="19"/>
  <c r="H380" i="19"/>
  <c r="K380" i="19" s="1"/>
  <c r="F380" i="19"/>
  <c r="J379" i="19"/>
  <c r="F379" i="19"/>
  <c r="H379" i="19" s="1"/>
  <c r="J378" i="19"/>
  <c r="K378" i="19" s="1"/>
  <c r="H378" i="19"/>
  <c r="F378" i="19"/>
  <c r="A377" i="19"/>
  <c r="A376" i="19"/>
  <c r="J375" i="19"/>
  <c r="K375" i="19" s="1"/>
  <c r="F375" i="19"/>
  <c r="H375" i="19" s="1"/>
  <c r="J374" i="19"/>
  <c r="F374" i="19"/>
  <c r="J373" i="19"/>
  <c r="F373" i="19"/>
  <c r="H373" i="19" s="1"/>
  <c r="B373" i="19"/>
  <c r="B374" i="19" s="1"/>
  <c r="B375" i="19" s="1"/>
  <c r="J372" i="19"/>
  <c r="A371" i="19"/>
  <c r="A370" i="19"/>
  <c r="J369" i="19"/>
  <c r="K369" i="19" s="1"/>
  <c r="H369" i="19"/>
  <c r="F369" i="19"/>
  <c r="J368" i="19"/>
  <c r="F368" i="19"/>
  <c r="J367" i="19"/>
  <c r="J366" i="19"/>
  <c r="F366" i="19"/>
  <c r="F367" i="19" s="1"/>
  <c r="H367" i="19" s="1"/>
  <c r="J365" i="19"/>
  <c r="K365" i="19" s="1"/>
  <c r="H365" i="19"/>
  <c r="H364" i="19"/>
  <c r="D364" i="19" s="1"/>
  <c r="K364" i="19" s="1"/>
  <c r="A363" i="19"/>
  <c r="J362" i="19"/>
  <c r="F362" i="19"/>
  <c r="H362" i="19" s="1"/>
  <c r="J361" i="19"/>
  <c r="F361" i="19"/>
  <c r="H361" i="19" s="1"/>
  <c r="J360" i="19"/>
  <c r="K360" i="19" s="1"/>
  <c r="H360" i="19"/>
  <c r="H359" i="19"/>
  <c r="K359" i="19" s="1"/>
  <c r="H358" i="19"/>
  <c r="D358" i="19" s="1"/>
  <c r="K358" i="19" s="1"/>
  <c r="A357" i="19"/>
  <c r="J356" i="19"/>
  <c r="F356" i="19"/>
  <c r="J355" i="19"/>
  <c r="J354" i="19"/>
  <c r="F354" i="19"/>
  <c r="F355" i="19" s="1"/>
  <c r="H355" i="19" s="1"/>
  <c r="J353" i="19"/>
  <c r="K353" i="19" s="1"/>
  <c r="H353" i="19"/>
  <c r="H352" i="19"/>
  <c r="D352" i="19" s="1"/>
  <c r="K352" i="19" s="1"/>
  <c r="A351" i="19"/>
  <c r="J350" i="19"/>
  <c r="F350" i="19"/>
  <c r="H350" i="19" s="1"/>
  <c r="K350" i="19" s="1"/>
  <c r="J349" i="19"/>
  <c r="F349" i="19"/>
  <c r="H349" i="19" s="1"/>
  <c r="H348" i="19"/>
  <c r="K348" i="19" s="1"/>
  <c r="H347" i="19"/>
  <c r="K347" i="19" s="1"/>
  <c r="H346" i="19"/>
  <c r="D346" i="19" s="1"/>
  <c r="K346" i="19" s="1"/>
  <c r="A345" i="19"/>
  <c r="A344" i="19"/>
  <c r="A343" i="19"/>
  <c r="J342" i="19"/>
  <c r="H342" i="19"/>
  <c r="F342" i="19"/>
  <c r="J341" i="19"/>
  <c r="F341" i="19"/>
  <c r="H341" i="19" s="1"/>
  <c r="F340" i="19"/>
  <c r="H340" i="19" s="1"/>
  <c r="K340" i="19" s="1"/>
  <c r="J339" i="19"/>
  <c r="H339" i="19"/>
  <c r="F339" i="19"/>
  <c r="A338" i="19"/>
  <c r="A337" i="19"/>
  <c r="J336" i="19"/>
  <c r="F336" i="19"/>
  <c r="H336" i="19" s="1"/>
  <c r="J335" i="19"/>
  <c r="H335" i="19"/>
  <c r="F335" i="19"/>
  <c r="J334" i="19"/>
  <c r="F334" i="19"/>
  <c r="J333" i="19"/>
  <c r="H333" i="19"/>
  <c r="F333" i="19"/>
  <c r="A332" i="19"/>
  <c r="A331" i="19"/>
  <c r="J330" i="19"/>
  <c r="F330" i="19"/>
  <c r="J329" i="19"/>
  <c r="H329" i="19"/>
  <c r="F329" i="19"/>
  <c r="H328" i="19"/>
  <c r="K328" i="19" s="1"/>
  <c r="J327" i="19"/>
  <c r="A325" i="19"/>
  <c r="J324" i="19"/>
  <c r="K324" i="19" s="1"/>
  <c r="F323" i="19"/>
  <c r="F324" i="19" s="1"/>
  <c r="H324" i="19" s="1"/>
  <c r="F322" i="19"/>
  <c r="F326" i="19" s="1"/>
  <c r="H326" i="19" s="1"/>
  <c r="K326" i="19" s="1"/>
  <c r="F321" i="19"/>
  <c r="H321" i="19" s="1"/>
  <c r="K321" i="19" s="1"/>
  <c r="H320" i="19"/>
  <c r="K320" i="19" s="1"/>
  <c r="J319" i="19"/>
  <c r="F319" i="19"/>
  <c r="H319" i="19" s="1"/>
  <c r="K319" i="19" s="1"/>
  <c r="H318" i="19"/>
  <c r="D318" i="19" s="1"/>
  <c r="K318" i="19" s="1"/>
  <c r="A317" i="19"/>
  <c r="A316" i="19"/>
  <c r="J315" i="19"/>
  <c r="K315" i="19" s="1"/>
  <c r="H315" i="19"/>
  <c r="F315" i="19"/>
  <c r="J314" i="19"/>
  <c r="F314" i="19"/>
  <c r="F313" i="19"/>
  <c r="J312" i="19"/>
  <c r="H312" i="19"/>
  <c r="F312" i="19"/>
  <c r="A311" i="19"/>
  <c r="J310" i="19"/>
  <c r="H310" i="19"/>
  <c r="K310" i="19" s="1"/>
  <c r="F310" i="19"/>
  <c r="J309" i="19"/>
  <c r="F309" i="19"/>
  <c r="H309" i="19" s="1"/>
  <c r="J308" i="19"/>
  <c r="F308" i="19"/>
  <c r="J307" i="19"/>
  <c r="F307" i="19"/>
  <c r="A306" i="19"/>
  <c r="J305" i="19"/>
  <c r="F305" i="19"/>
  <c r="J304" i="19"/>
  <c r="H304" i="19"/>
  <c r="K304" i="19" s="1"/>
  <c r="F304" i="19"/>
  <c r="F303" i="19"/>
  <c r="J302" i="19"/>
  <c r="F302" i="19"/>
  <c r="A301" i="19"/>
  <c r="A300" i="19"/>
  <c r="A299" i="19"/>
  <c r="J298" i="19"/>
  <c r="H298" i="19"/>
  <c r="A297" i="19"/>
  <c r="J296" i="19"/>
  <c r="H296" i="19"/>
  <c r="F296" i="19"/>
  <c r="J295" i="19"/>
  <c r="F295" i="19"/>
  <c r="H295" i="19" s="1"/>
  <c r="J294" i="19"/>
  <c r="F294" i="19"/>
  <c r="J293" i="19"/>
  <c r="F293" i="19"/>
  <c r="J292" i="19"/>
  <c r="H292" i="19"/>
  <c r="F292" i="19"/>
  <c r="J291" i="19"/>
  <c r="F291" i="19"/>
  <c r="J290" i="19"/>
  <c r="H290" i="19"/>
  <c r="F290" i="19"/>
  <c r="A289" i="19"/>
  <c r="J288" i="19"/>
  <c r="K288" i="19" s="1"/>
  <c r="H288" i="19"/>
  <c r="F288" i="19"/>
  <c r="J287" i="19"/>
  <c r="F287" i="19"/>
  <c r="H287" i="19" s="1"/>
  <c r="J286" i="19"/>
  <c r="F286" i="19"/>
  <c r="J285" i="19"/>
  <c r="F285" i="19"/>
  <c r="J284" i="19"/>
  <c r="K284" i="19" s="1"/>
  <c r="H284" i="19"/>
  <c r="F284" i="19"/>
  <c r="J283" i="19"/>
  <c r="F283" i="19"/>
  <c r="J282" i="19"/>
  <c r="H282" i="19"/>
  <c r="F282" i="19"/>
  <c r="J281" i="19"/>
  <c r="H281" i="19"/>
  <c r="F281" i="19"/>
  <c r="A280" i="19"/>
  <c r="J279" i="19"/>
  <c r="F279" i="19"/>
  <c r="H279" i="19" s="1"/>
  <c r="J278" i="19"/>
  <c r="H278" i="19"/>
  <c r="F278" i="19"/>
  <c r="J277" i="19"/>
  <c r="H277" i="19"/>
  <c r="F277" i="19"/>
  <c r="J276" i="19"/>
  <c r="H276" i="19"/>
  <c r="F276" i="19"/>
  <c r="J275" i="19"/>
  <c r="K275" i="19" s="1"/>
  <c r="F275" i="19"/>
  <c r="H275" i="19" s="1"/>
  <c r="J274" i="19"/>
  <c r="H274" i="19"/>
  <c r="F274" i="19"/>
  <c r="J273" i="19"/>
  <c r="H273" i="19"/>
  <c r="F273" i="19"/>
  <c r="A272" i="19"/>
  <c r="J271" i="19"/>
  <c r="F271" i="19"/>
  <c r="H271" i="19" s="1"/>
  <c r="J270" i="19"/>
  <c r="F270" i="19"/>
  <c r="J269" i="19"/>
  <c r="F269" i="19"/>
  <c r="J268" i="19"/>
  <c r="K268" i="19" s="1"/>
  <c r="H268" i="19"/>
  <c r="F268" i="19"/>
  <c r="J267" i="19"/>
  <c r="F267" i="19"/>
  <c r="J266" i="19"/>
  <c r="H266" i="19"/>
  <c r="F266" i="19"/>
  <c r="J265" i="19"/>
  <c r="H265" i="19"/>
  <c r="F265" i="19"/>
  <c r="A264" i="19"/>
  <c r="J263" i="19"/>
  <c r="F263" i="19"/>
  <c r="C263" i="19"/>
  <c r="B263" i="19"/>
  <c r="J262" i="19"/>
  <c r="K262" i="19" s="1"/>
  <c r="H262" i="19"/>
  <c r="J261" i="19"/>
  <c r="H261" i="19"/>
  <c r="F261" i="19"/>
  <c r="J260" i="19"/>
  <c r="F260" i="19"/>
  <c r="H260" i="19" s="1"/>
  <c r="J259" i="19"/>
  <c r="H259" i="19"/>
  <c r="F259" i="19"/>
  <c r="J258" i="19"/>
  <c r="H258" i="19"/>
  <c r="F258" i="19"/>
  <c r="J257" i="19"/>
  <c r="H257" i="19"/>
  <c r="F257" i="19"/>
  <c r="J256" i="19"/>
  <c r="K256" i="19" s="1"/>
  <c r="F256" i="19"/>
  <c r="H256" i="19" s="1"/>
  <c r="J255" i="19"/>
  <c r="F255" i="19"/>
  <c r="A254" i="19"/>
  <c r="J253" i="19"/>
  <c r="F253" i="19"/>
  <c r="H253" i="19" s="1"/>
  <c r="C253" i="19"/>
  <c r="B253" i="19"/>
  <c r="J252" i="19"/>
  <c r="H252" i="19"/>
  <c r="J251" i="19"/>
  <c r="H251" i="19"/>
  <c r="F251" i="19"/>
  <c r="J250" i="19"/>
  <c r="H250" i="19"/>
  <c r="F250" i="19"/>
  <c r="J249" i="19"/>
  <c r="F249" i="19"/>
  <c r="H249" i="19" s="1"/>
  <c r="J248" i="19"/>
  <c r="F248" i="19"/>
  <c r="J247" i="19"/>
  <c r="F247" i="19"/>
  <c r="J246" i="19"/>
  <c r="H246" i="19"/>
  <c r="F246" i="19"/>
  <c r="J245" i="19"/>
  <c r="F245" i="19"/>
  <c r="A244" i="19"/>
  <c r="J243" i="19"/>
  <c r="F243" i="19"/>
  <c r="H243" i="19" s="1"/>
  <c r="C243" i="19"/>
  <c r="B243" i="19"/>
  <c r="J242" i="19"/>
  <c r="H242" i="19"/>
  <c r="J241" i="19"/>
  <c r="F241" i="19"/>
  <c r="J240" i="19"/>
  <c r="F240" i="19"/>
  <c r="J239" i="19"/>
  <c r="K239" i="19" s="1"/>
  <c r="H239" i="19"/>
  <c r="F239" i="19"/>
  <c r="J238" i="19"/>
  <c r="F238" i="19"/>
  <c r="J237" i="19"/>
  <c r="H237" i="19"/>
  <c r="F237" i="19"/>
  <c r="J236" i="19"/>
  <c r="H236" i="19"/>
  <c r="F236" i="19"/>
  <c r="J235" i="19"/>
  <c r="H235" i="19"/>
  <c r="F235" i="19"/>
  <c r="J234" i="19"/>
  <c r="F234" i="19"/>
  <c r="H234" i="19" s="1"/>
  <c r="A233" i="19"/>
  <c r="J232" i="19"/>
  <c r="F232" i="19"/>
  <c r="H232" i="19" s="1"/>
  <c r="C232" i="19"/>
  <c r="B232" i="19"/>
  <c r="J231" i="19"/>
  <c r="H231" i="19"/>
  <c r="J230" i="19"/>
  <c r="H230" i="19"/>
  <c r="F230" i="19"/>
  <c r="J229" i="19"/>
  <c r="H229" i="19"/>
  <c r="F229" i="19"/>
  <c r="J228" i="19"/>
  <c r="H228" i="19"/>
  <c r="K228" i="19" s="1"/>
  <c r="F228" i="19"/>
  <c r="J227" i="19"/>
  <c r="F227" i="19"/>
  <c r="H227" i="19" s="1"/>
  <c r="J226" i="19"/>
  <c r="H226" i="19"/>
  <c r="F226" i="19"/>
  <c r="J225" i="19"/>
  <c r="H225" i="19"/>
  <c r="F225" i="19"/>
  <c r="J224" i="19"/>
  <c r="H224" i="19"/>
  <c r="F224" i="19"/>
  <c r="J223" i="19"/>
  <c r="K223" i="19" s="1"/>
  <c r="H223" i="19"/>
  <c r="F223" i="19"/>
  <c r="A222" i="19"/>
  <c r="J221" i="19"/>
  <c r="F221" i="19"/>
  <c r="H221" i="19" s="1"/>
  <c r="K221" i="19" s="1"/>
  <c r="C221" i="19"/>
  <c r="B221" i="19"/>
  <c r="J220" i="19"/>
  <c r="K220" i="19" s="1"/>
  <c r="H220" i="19"/>
  <c r="J219" i="19"/>
  <c r="F219" i="19"/>
  <c r="J218" i="19"/>
  <c r="H218" i="19"/>
  <c r="K218" i="19" s="1"/>
  <c r="F218" i="19"/>
  <c r="J217" i="19"/>
  <c r="H217" i="19"/>
  <c r="F217" i="19"/>
  <c r="J216" i="19"/>
  <c r="H216" i="19"/>
  <c r="F216" i="19"/>
  <c r="J215" i="19"/>
  <c r="F215" i="19"/>
  <c r="J214" i="19"/>
  <c r="H214" i="19"/>
  <c r="F214" i="19"/>
  <c r="J213" i="19"/>
  <c r="H213" i="19"/>
  <c r="F213" i="19"/>
  <c r="A212" i="19"/>
  <c r="J211" i="19"/>
  <c r="F211" i="19"/>
  <c r="J210" i="19"/>
  <c r="H210" i="19"/>
  <c r="F210" i="19"/>
  <c r="H209" i="19"/>
  <c r="K209" i="19" s="1"/>
  <c r="F209" i="19"/>
  <c r="J208" i="19"/>
  <c r="H208" i="19"/>
  <c r="F208" i="19"/>
  <c r="A207" i="19"/>
  <c r="J206" i="19"/>
  <c r="F206" i="19"/>
  <c r="C206" i="19"/>
  <c r="B206" i="19"/>
  <c r="J205" i="19"/>
  <c r="H205" i="19"/>
  <c r="J204" i="19"/>
  <c r="H204" i="19"/>
  <c r="F204" i="19"/>
  <c r="J203" i="19"/>
  <c r="F203" i="19"/>
  <c r="J202" i="19"/>
  <c r="H202" i="19"/>
  <c r="F202" i="19"/>
  <c r="J201" i="19"/>
  <c r="H201" i="19"/>
  <c r="F201" i="19"/>
  <c r="J200" i="19"/>
  <c r="H200" i="19"/>
  <c r="F200" i="19"/>
  <c r="J199" i="19"/>
  <c r="F199" i="19"/>
  <c r="H199" i="19" s="1"/>
  <c r="J198" i="19"/>
  <c r="F198" i="19"/>
  <c r="A197" i="19"/>
  <c r="F196" i="19"/>
  <c r="H196" i="19" s="1"/>
  <c r="K196" i="19" s="1"/>
  <c r="C196" i="19"/>
  <c r="B196" i="19"/>
  <c r="H195" i="19"/>
  <c r="K195" i="19" s="1"/>
  <c r="H194" i="19"/>
  <c r="K194" i="19" s="1"/>
  <c r="F194" i="19"/>
  <c r="J193" i="19"/>
  <c r="F193" i="19"/>
  <c r="J192" i="19"/>
  <c r="H192" i="19"/>
  <c r="F192" i="19"/>
  <c r="J191" i="19"/>
  <c r="H191" i="19"/>
  <c r="F191" i="19"/>
  <c r="J190" i="19"/>
  <c r="H190" i="19"/>
  <c r="K190" i="19" s="1"/>
  <c r="F190" i="19"/>
  <c r="J189" i="19"/>
  <c r="F189" i="19"/>
  <c r="H189" i="19" s="1"/>
  <c r="F188" i="19"/>
  <c r="H188" i="19" s="1"/>
  <c r="K188" i="19" s="1"/>
  <c r="A187" i="19"/>
  <c r="A186" i="19"/>
  <c r="A185" i="19"/>
  <c r="J184" i="19"/>
  <c r="F184" i="19"/>
  <c r="J183" i="19"/>
  <c r="H183" i="19"/>
  <c r="F183" i="19"/>
  <c r="J182" i="19"/>
  <c r="H182" i="19"/>
  <c r="F182" i="19"/>
  <c r="A181" i="19"/>
  <c r="A180" i="19"/>
  <c r="J179" i="19"/>
  <c r="H179" i="19"/>
  <c r="F179" i="19"/>
  <c r="J178" i="19"/>
  <c r="H178" i="19"/>
  <c r="F178" i="19"/>
  <c r="J177" i="19"/>
  <c r="K177" i="19" s="1"/>
  <c r="H177" i="19"/>
  <c r="F177" i="19"/>
  <c r="J176" i="19"/>
  <c r="F176" i="19"/>
  <c r="H176" i="19" s="1"/>
  <c r="A175" i="19"/>
  <c r="A174" i="19"/>
  <c r="J173" i="19"/>
  <c r="H173" i="19"/>
  <c r="F173" i="19"/>
  <c r="J172" i="19"/>
  <c r="F172" i="19"/>
  <c r="H172" i="19" s="1"/>
  <c r="J171" i="19"/>
  <c r="K171" i="19" s="1"/>
  <c r="F171" i="19"/>
  <c r="H171" i="19" s="1"/>
  <c r="J170" i="19"/>
  <c r="J169" i="19"/>
  <c r="H169" i="19"/>
  <c r="F169" i="19"/>
  <c r="J168" i="19"/>
  <c r="F168" i="19"/>
  <c r="J167" i="19"/>
  <c r="F167" i="19"/>
  <c r="A166" i="19"/>
  <c r="A165" i="19"/>
  <c r="A164" i="19"/>
  <c r="J163" i="19"/>
  <c r="F163" i="19"/>
  <c r="J162" i="19"/>
  <c r="H162" i="19"/>
  <c r="F162" i="19"/>
  <c r="J161" i="19"/>
  <c r="H161" i="19"/>
  <c r="F161" i="19"/>
  <c r="J160" i="19"/>
  <c r="F160" i="19"/>
  <c r="J159" i="19"/>
  <c r="H159" i="19"/>
  <c r="K159" i="19" s="1"/>
  <c r="F159" i="19"/>
  <c r="A158" i="19"/>
  <c r="J157" i="19"/>
  <c r="H157" i="19"/>
  <c r="F157" i="19"/>
  <c r="J156" i="19"/>
  <c r="F156" i="19"/>
  <c r="H156" i="19" s="1"/>
  <c r="J155" i="19"/>
  <c r="J154" i="19"/>
  <c r="F154" i="19"/>
  <c r="J153" i="19"/>
  <c r="H153" i="19"/>
  <c r="F153" i="19"/>
  <c r="J152" i="19"/>
  <c r="F152" i="19"/>
  <c r="A151" i="19"/>
  <c r="J150" i="19"/>
  <c r="H150" i="19"/>
  <c r="F150" i="19"/>
  <c r="J149" i="19"/>
  <c r="H149" i="19"/>
  <c r="F149" i="19"/>
  <c r="J148" i="19"/>
  <c r="J147" i="19"/>
  <c r="F147" i="19"/>
  <c r="F148" i="19" s="1"/>
  <c r="J146" i="19"/>
  <c r="F146" i="19"/>
  <c r="J145" i="19"/>
  <c r="H145" i="19"/>
  <c r="F145" i="19"/>
  <c r="A144" i="19"/>
  <c r="J143" i="19"/>
  <c r="H143" i="19"/>
  <c r="F143" i="19"/>
  <c r="J142" i="19"/>
  <c r="F142" i="19"/>
  <c r="J141" i="19"/>
  <c r="J140" i="19"/>
  <c r="F140" i="19"/>
  <c r="J139" i="19"/>
  <c r="H139" i="19"/>
  <c r="F139" i="19"/>
  <c r="J138" i="19"/>
  <c r="F138" i="19"/>
  <c r="A137" i="19"/>
  <c r="J136" i="19"/>
  <c r="F136" i="19"/>
  <c r="J135" i="19"/>
  <c r="H135" i="19"/>
  <c r="F135" i="19"/>
  <c r="J134" i="19"/>
  <c r="J133" i="19"/>
  <c r="H133" i="19"/>
  <c r="F133" i="19"/>
  <c r="J132" i="19"/>
  <c r="F132" i="19"/>
  <c r="H132" i="19" s="1"/>
  <c r="J131" i="19"/>
  <c r="F131" i="19"/>
  <c r="F134" i="19" s="1"/>
  <c r="H134" i="19" s="1"/>
  <c r="A130" i="19"/>
  <c r="J129" i="19"/>
  <c r="K129" i="19" s="1"/>
  <c r="H129" i="19"/>
  <c r="F129" i="19"/>
  <c r="J128" i="19"/>
  <c r="F128" i="19"/>
  <c r="J127" i="19"/>
  <c r="J126" i="19"/>
  <c r="H126" i="19"/>
  <c r="F126" i="19"/>
  <c r="J125" i="19"/>
  <c r="H125" i="19"/>
  <c r="F125" i="19"/>
  <c r="J124" i="19"/>
  <c r="F124" i="19"/>
  <c r="H124" i="19" s="1"/>
  <c r="A123" i="19"/>
  <c r="J122" i="19"/>
  <c r="F122" i="19"/>
  <c r="J121" i="19"/>
  <c r="H121" i="19"/>
  <c r="F121" i="19"/>
  <c r="J120" i="19"/>
  <c r="J119" i="19"/>
  <c r="F119" i="19"/>
  <c r="J118" i="19"/>
  <c r="F118" i="19"/>
  <c r="J117" i="19"/>
  <c r="H117" i="19"/>
  <c r="K117" i="19" s="1"/>
  <c r="F117" i="19"/>
  <c r="A116" i="19"/>
  <c r="J115" i="19"/>
  <c r="H115" i="19"/>
  <c r="K115" i="19" s="1"/>
  <c r="F115" i="19"/>
  <c r="J114" i="19"/>
  <c r="H114" i="19"/>
  <c r="F114" i="19"/>
  <c r="J113" i="19"/>
  <c r="J112" i="19"/>
  <c r="F112" i="19"/>
  <c r="J111" i="19"/>
  <c r="H111" i="19"/>
  <c r="F111" i="19"/>
  <c r="J110" i="19"/>
  <c r="H110" i="19"/>
  <c r="F110" i="19"/>
  <c r="A109" i="19"/>
  <c r="J108" i="19"/>
  <c r="F108" i="19"/>
  <c r="H108" i="19" s="1"/>
  <c r="J107" i="19"/>
  <c r="F107" i="19"/>
  <c r="H107" i="19" s="1"/>
  <c r="K107" i="19" s="1"/>
  <c r="J106" i="19"/>
  <c r="J105" i="19"/>
  <c r="H105" i="19"/>
  <c r="F105" i="19"/>
  <c r="J104" i="19"/>
  <c r="F104" i="19"/>
  <c r="H104" i="19" s="1"/>
  <c r="K104" i="19" s="1"/>
  <c r="J103" i="19"/>
  <c r="F103" i="19"/>
  <c r="A102" i="19"/>
  <c r="J101" i="19"/>
  <c r="H101" i="19"/>
  <c r="F101" i="19"/>
  <c r="J100" i="19"/>
  <c r="F100" i="19"/>
  <c r="H100" i="19" s="1"/>
  <c r="J99" i="19"/>
  <c r="J98" i="19"/>
  <c r="F98" i="19"/>
  <c r="J97" i="19"/>
  <c r="H97" i="19"/>
  <c r="F97" i="19"/>
  <c r="J96" i="19"/>
  <c r="F96" i="19"/>
  <c r="H96" i="19" s="1"/>
  <c r="A95" i="19"/>
  <c r="J94" i="19"/>
  <c r="F94" i="19"/>
  <c r="J93" i="19"/>
  <c r="H93" i="19"/>
  <c r="F93" i="19"/>
  <c r="J92" i="19"/>
  <c r="F92" i="19"/>
  <c r="H92" i="19" s="1"/>
  <c r="J91" i="19"/>
  <c r="F91" i="19"/>
  <c r="J90" i="19"/>
  <c r="F90" i="19"/>
  <c r="J89" i="19"/>
  <c r="H89" i="19"/>
  <c r="F89" i="19"/>
  <c r="A88" i="19"/>
  <c r="J87" i="19"/>
  <c r="K87" i="19" s="1"/>
  <c r="F87" i="19"/>
  <c r="H87" i="19" s="1"/>
  <c r="J86" i="19"/>
  <c r="J85" i="19"/>
  <c r="K85" i="19" s="1"/>
  <c r="H85" i="19"/>
  <c r="F85" i="19"/>
  <c r="J84" i="19"/>
  <c r="K84" i="19" s="1"/>
  <c r="F84" i="19"/>
  <c r="H84" i="19" s="1"/>
  <c r="J83" i="19"/>
  <c r="F83" i="19"/>
  <c r="A82" i="19"/>
  <c r="J81" i="19"/>
  <c r="H81" i="19"/>
  <c r="F81" i="19"/>
  <c r="J80" i="19"/>
  <c r="K80" i="19" s="1"/>
  <c r="F80" i="19"/>
  <c r="H80" i="19" s="1"/>
  <c r="J79" i="19"/>
  <c r="J78" i="19"/>
  <c r="F78" i="19"/>
  <c r="J77" i="19"/>
  <c r="H77" i="19"/>
  <c r="F77" i="19"/>
  <c r="J76" i="19"/>
  <c r="K76" i="19" s="1"/>
  <c r="F76" i="19"/>
  <c r="H76" i="19" s="1"/>
  <c r="A75" i="19"/>
  <c r="J74" i="19"/>
  <c r="F74" i="19"/>
  <c r="J73" i="19"/>
  <c r="H73" i="19"/>
  <c r="K73" i="19" s="1"/>
  <c r="F73" i="19"/>
  <c r="J72" i="19"/>
  <c r="J71" i="19"/>
  <c r="F71" i="19"/>
  <c r="F70" i="19"/>
  <c r="J69" i="19"/>
  <c r="F69" i="19"/>
  <c r="A68" i="19"/>
  <c r="A67" i="19"/>
  <c r="A66" i="19"/>
  <c r="J65" i="19"/>
  <c r="H65" i="19"/>
  <c r="F65" i="19"/>
  <c r="J64" i="19"/>
  <c r="H64" i="19"/>
  <c r="F64" i="19"/>
  <c r="J63" i="19"/>
  <c r="J62" i="19"/>
  <c r="F62" i="19"/>
  <c r="F63" i="19" s="1"/>
  <c r="J61" i="19"/>
  <c r="F61" i="19"/>
  <c r="J60" i="19"/>
  <c r="K60" i="19" s="1"/>
  <c r="H60" i="19"/>
  <c r="F60" i="19"/>
  <c r="A59" i="19"/>
  <c r="J58" i="19"/>
  <c r="H58" i="19"/>
  <c r="F58" i="19"/>
  <c r="J57" i="19"/>
  <c r="F57" i="19"/>
  <c r="J56" i="19"/>
  <c r="J55" i="19"/>
  <c r="F55" i="19"/>
  <c r="J54" i="19"/>
  <c r="H54" i="19"/>
  <c r="F54" i="19"/>
  <c r="J53" i="19"/>
  <c r="F53" i="19"/>
  <c r="A52" i="19"/>
  <c r="J51" i="19"/>
  <c r="F51" i="19"/>
  <c r="J50" i="19"/>
  <c r="H50" i="19"/>
  <c r="F50" i="19"/>
  <c r="J49" i="19"/>
  <c r="F49" i="19"/>
  <c r="J48" i="19"/>
  <c r="H48" i="19"/>
  <c r="F48" i="19"/>
  <c r="J47" i="19"/>
  <c r="H47" i="19"/>
  <c r="F47" i="19"/>
  <c r="J46" i="19"/>
  <c r="H46" i="19"/>
  <c r="F46" i="19"/>
  <c r="A45" i="19"/>
  <c r="J44" i="19"/>
  <c r="F44" i="19"/>
  <c r="H44" i="19" s="1"/>
  <c r="J43" i="19"/>
  <c r="F43" i="19"/>
  <c r="J42" i="19"/>
  <c r="J41" i="19"/>
  <c r="F41" i="19"/>
  <c r="J40" i="19"/>
  <c r="F40" i="19"/>
  <c r="H40" i="19" s="1"/>
  <c r="J39" i="19"/>
  <c r="F39" i="19"/>
  <c r="A38" i="19"/>
  <c r="J37" i="19"/>
  <c r="F37" i="19"/>
  <c r="H37" i="19" s="1"/>
  <c r="J36" i="19"/>
  <c r="F36" i="19"/>
  <c r="J35" i="19"/>
  <c r="H35" i="19"/>
  <c r="F35" i="19"/>
  <c r="J34" i="19"/>
  <c r="H34" i="19"/>
  <c r="F34" i="19"/>
  <c r="J33" i="19"/>
  <c r="F33" i="19"/>
  <c r="J32" i="19"/>
  <c r="H32" i="19"/>
  <c r="F32" i="19"/>
  <c r="A31" i="19"/>
  <c r="J30" i="19"/>
  <c r="K30" i="19" s="1"/>
  <c r="H30" i="19"/>
  <c r="F30" i="19"/>
  <c r="J29" i="19"/>
  <c r="F29" i="19"/>
  <c r="H29" i="19" s="1"/>
  <c r="J28" i="19"/>
  <c r="J27" i="19"/>
  <c r="F27" i="19"/>
  <c r="J26" i="19"/>
  <c r="H26" i="19"/>
  <c r="F26" i="19"/>
  <c r="J25" i="19"/>
  <c r="F25" i="19"/>
  <c r="A24" i="19"/>
  <c r="J23" i="19"/>
  <c r="H23" i="19"/>
  <c r="F23" i="19"/>
  <c r="J22" i="19"/>
  <c r="H22" i="19"/>
  <c r="F22" i="19"/>
  <c r="J21" i="19"/>
  <c r="J20" i="19"/>
  <c r="F20" i="19"/>
  <c r="J19" i="19"/>
  <c r="F19" i="19"/>
  <c r="J18" i="19"/>
  <c r="H18" i="19"/>
  <c r="F18" i="19"/>
  <c r="A17" i="19"/>
  <c r="J16" i="19"/>
  <c r="F16" i="19"/>
  <c r="H16" i="19" s="1"/>
  <c r="K16" i="19" s="1"/>
  <c r="F15" i="19"/>
  <c r="H15" i="19" s="1"/>
  <c r="K15" i="19" s="1"/>
  <c r="F13" i="19"/>
  <c r="H13" i="19" s="1"/>
  <c r="K13" i="19" s="1"/>
  <c r="F12" i="19"/>
  <c r="H12" i="19" s="1"/>
  <c r="K12" i="19" s="1"/>
  <c r="F11" i="19"/>
  <c r="H11" i="19" s="1"/>
  <c r="K11" i="19" s="1"/>
  <c r="A10" i="19"/>
  <c r="A11" i="19" s="1"/>
  <c r="A9" i="19"/>
  <c r="A8" i="19"/>
  <c r="K29" i="19" l="1"/>
  <c r="K169" i="19"/>
  <c r="K250" i="19"/>
  <c r="K292" i="19"/>
  <c r="K333" i="19"/>
  <c r="K426" i="19"/>
  <c r="K524" i="19"/>
  <c r="K536" i="19"/>
  <c r="K93" i="19"/>
  <c r="K97" i="19"/>
  <c r="K192" i="19"/>
  <c r="K217" i="19"/>
  <c r="K230" i="19"/>
  <c r="K249" i="19"/>
  <c r="K252" i="19"/>
  <c r="K261" i="19"/>
  <c r="K274" i="19"/>
  <c r="K277" i="19"/>
  <c r="K296" i="19"/>
  <c r="K329" i="19"/>
  <c r="K335" i="19"/>
  <c r="K361" i="19"/>
  <c r="K387" i="19"/>
  <c r="K414" i="19"/>
  <c r="K421" i="19"/>
  <c r="K430" i="19"/>
  <c r="K436" i="19"/>
  <c r="K462" i="19"/>
  <c r="K491" i="19"/>
  <c r="K512" i="19"/>
  <c r="K132" i="19"/>
  <c r="K157" i="19"/>
  <c r="K234" i="19"/>
  <c r="K259" i="19"/>
  <c r="K287" i="19"/>
  <c r="K298" i="19"/>
  <c r="K339" i="19"/>
  <c r="K480" i="19"/>
  <c r="K557" i="19"/>
  <c r="K54" i="19"/>
  <c r="K96" i="19"/>
  <c r="K108" i="19"/>
  <c r="K135" i="19"/>
  <c r="K199" i="19"/>
  <c r="K200" i="19"/>
  <c r="K213" i="19"/>
  <c r="K216" i="19"/>
  <c r="K253" i="19"/>
  <c r="K257" i="19"/>
  <c r="K260" i="19"/>
  <c r="K271" i="19"/>
  <c r="K295" i="19"/>
  <c r="H323" i="19"/>
  <c r="K323" i="19" s="1"/>
  <c r="K355" i="19"/>
  <c r="K362" i="19"/>
  <c r="K384" i="19"/>
  <c r="K410" i="19"/>
  <c r="K432" i="19"/>
  <c r="K437" i="19"/>
  <c r="K448" i="19"/>
  <c r="K468" i="19"/>
  <c r="K139" i="19"/>
  <c r="K143" i="19"/>
  <c r="K266" i="19"/>
  <c r="K464" i="19"/>
  <c r="K567" i="19"/>
  <c r="K246" i="19"/>
  <c r="K367" i="19"/>
  <c r="K484" i="19"/>
  <c r="K487" i="19"/>
  <c r="K40" i="19"/>
  <c r="K105" i="19"/>
  <c r="K172" i="19"/>
  <c r="K179" i="19"/>
  <c r="K183" i="19"/>
  <c r="K214" i="19"/>
  <c r="K237" i="19"/>
  <c r="K242" i="19"/>
  <c r="K278" i="19"/>
  <c r="K309" i="19"/>
  <c r="K418" i="19"/>
  <c r="K458" i="19"/>
  <c r="K476" i="19"/>
  <c r="K506" i="19"/>
  <c r="K510" i="19"/>
  <c r="K530" i="19"/>
  <c r="K568" i="19"/>
  <c r="K401" i="19"/>
  <c r="K466" i="19"/>
  <c r="K77" i="19"/>
  <c r="K111" i="19"/>
  <c r="K124" i="19"/>
  <c r="K156" i="19"/>
  <c r="K189" i="19"/>
  <c r="K202" i="19"/>
  <c r="K205" i="19"/>
  <c r="K210" i="19"/>
  <c r="K224" i="19"/>
  <c r="K227" i="19"/>
  <c r="K232" i="19"/>
  <c r="K273" i="19"/>
  <c r="K282" i="19"/>
  <c r="K312" i="19"/>
  <c r="H322" i="19"/>
  <c r="K322" i="19" s="1"/>
  <c r="F327" i="19"/>
  <c r="H327" i="19" s="1"/>
  <c r="K327" i="19" s="1"/>
  <c r="K379" i="19"/>
  <c r="K397" i="19"/>
  <c r="K429" i="19"/>
  <c r="K438" i="19"/>
  <c r="K452" i="19"/>
  <c r="K505" i="19"/>
  <c r="K509" i="19"/>
  <c r="K514" i="19"/>
  <c r="K522" i="19"/>
  <c r="K48" i="19"/>
  <c r="K226" i="19"/>
  <c r="K235" i="19"/>
  <c r="K290" i="19"/>
  <c r="K341" i="19"/>
  <c r="K349" i="19"/>
  <c r="K412" i="19"/>
  <c r="K475" i="19"/>
  <c r="K492" i="19"/>
  <c r="K504" i="19"/>
  <c r="K517" i="19"/>
  <c r="K534" i="19"/>
  <c r="K58" i="19"/>
  <c r="K100" i="19"/>
  <c r="K110" i="19"/>
  <c r="K126" i="19"/>
  <c r="K145" i="19"/>
  <c r="K204" i="19"/>
  <c r="K231" i="19"/>
  <c r="K276" i="19"/>
  <c r="K279" i="19"/>
  <c r="K393" i="19"/>
  <c r="K396" i="19"/>
  <c r="K415" i="19"/>
  <c r="K422" i="19"/>
  <c r="K456" i="19"/>
  <c r="K521" i="19"/>
  <c r="K546" i="19"/>
  <c r="K550" i="19"/>
  <c r="K554" i="19"/>
  <c r="K32" i="19"/>
  <c r="K44" i="19"/>
  <c r="K121" i="19"/>
  <c r="K173" i="19"/>
  <c r="K225" i="19"/>
  <c r="K251" i="19"/>
  <c r="K258" i="19"/>
  <c r="K342" i="19"/>
  <c r="K373" i="19"/>
  <c r="K411" i="19"/>
  <c r="K474" i="19"/>
  <c r="K493" i="19"/>
  <c r="K529" i="19"/>
  <c r="K533" i="19"/>
  <c r="K538" i="19"/>
  <c r="A17" i="21"/>
  <c r="A18" i="21" s="1"/>
  <c r="K647" i="21"/>
  <c r="K648" i="21" s="1"/>
  <c r="C5" i="21" s="1"/>
  <c r="L647" i="21"/>
  <c r="E69" i="13"/>
  <c r="H142" i="19"/>
  <c r="K142" i="19" s="1"/>
  <c r="K18" i="19"/>
  <c r="H27" i="19"/>
  <c r="K27" i="19" s="1"/>
  <c r="K65" i="19"/>
  <c r="H74" i="19"/>
  <c r="K74" i="19" s="1"/>
  <c r="F86" i="19"/>
  <c r="H83" i="19"/>
  <c r="K83" i="19" s="1"/>
  <c r="H71" i="19"/>
  <c r="K71" i="19" s="1"/>
  <c r="F113" i="19"/>
  <c r="H112" i="19"/>
  <c r="H138" i="19"/>
  <c r="K138" i="19" s="1"/>
  <c r="K23" i="19"/>
  <c r="H39" i="19"/>
  <c r="K39" i="19" s="1"/>
  <c r="H57" i="19"/>
  <c r="K57" i="19" s="1"/>
  <c r="H69" i="19"/>
  <c r="K112" i="19"/>
  <c r="F170" i="19"/>
  <c r="H167" i="19"/>
  <c r="K167" i="19" s="1"/>
  <c r="A12" i="19"/>
  <c r="F21" i="19"/>
  <c r="H20" i="19"/>
  <c r="K20" i="19" s="1"/>
  <c r="K22" i="19"/>
  <c r="H33" i="19"/>
  <c r="K33" i="19" s="1"/>
  <c r="K34" i="19"/>
  <c r="H43" i="19"/>
  <c r="K43" i="19" s="1"/>
  <c r="K47" i="19"/>
  <c r="H49" i="19"/>
  <c r="K49" i="19" s="1"/>
  <c r="K50" i="19"/>
  <c r="H91" i="19"/>
  <c r="K91" i="19" s="1"/>
  <c r="H118" i="19"/>
  <c r="K118" i="19" s="1"/>
  <c r="H128" i="19"/>
  <c r="K128" i="19" s="1"/>
  <c r="F155" i="19"/>
  <c r="H154" i="19"/>
  <c r="K154" i="19" s="1"/>
  <c r="H245" i="19"/>
  <c r="K245" i="19" s="1"/>
  <c r="H248" i="19"/>
  <c r="K248" i="19" s="1"/>
  <c r="H255" i="19"/>
  <c r="K255" i="19" s="1"/>
  <c r="F14" i="19"/>
  <c r="H19" i="19"/>
  <c r="K19" i="19" s="1"/>
  <c r="H25" i="19"/>
  <c r="K25" i="19" s="1"/>
  <c r="K26" i="19"/>
  <c r="F28" i="19"/>
  <c r="H36" i="19"/>
  <c r="K36" i="19" s="1"/>
  <c r="K37" i="19"/>
  <c r="K46" i="19"/>
  <c r="H51" i="19"/>
  <c r="K51" i="19" s="1"/>
  <c r="H53" i="19"/>
  <c r="H70" i="19"/>
  <c r="K70" i="19" s="1"/>
  <c r="F72" i="19"/>
  <c r="K89" i="19"/>
  <c r="H94" i="19"/>
  <c r="F106" i="19"/>
  <c r="H103" i="19"/>
  <c r="K103" i="19" s="1"/>
  <c r="H168" i="19"/>
  <c r="K168" i="19" s="1"/>
  <c r="K35" i="19"/>
  <c r="H285" i="19"/>
  <c r="H303" i="19"/>
  <c r="K303" i="19" s="1"/>
  <c r="H305" i="19"/>
  <c r="K305" i="19" s="1"/>
  <c r="H313" i="19"/>
  <c r="K313" i="19" s="1"/>
  <c r="H330" i="19"/>
  <c r="K134" i="19"/>
  <c r="H136" i="19"/>
  <c r="K136" i="19" s="1"/>
  <c r="K150" i="19"/>
  <c r="H238" i="19"/>
  <c r="K238" i="19" s="1"/>
  <c r="H241" i="19"/>
  <c r="K241" i="19" s="1"/>
  <c r="H293" i="19"/>
  <c r="K293" i="19" s="1"/>
  <c r="H307" i="19"/>
  <c r="K307" i="19" s="1"/>
  <c r="F42" i="19"/>
  <c r="H41" i="19"/>
  <c r="K41" i="19" s="1"/>
  <c r="K53" i="19"/>
  <c r="K64" i="19"/>
  <c r="K81" i="19"/>
  <c r="K92" i="19"/>
  <c r="K101" i="19"/>
  <c r="K114" i="19"/>
  <c r="K125" i="19"/>
  <c r="K149" i="19"/>
  <c r="H160" i="19"/>
  <c r="K161" i="19"/>
  <c r="K176" i="19"/>
  <c r="H184" i="19"/>
  <c r="K184" i="19" s="1"/>
  <c r="H193" i="19"/>
  <c r="K193" i="19" s="1"/>
  <c r="H198" i="19"/>
  <c r="K198" i="19" s="1"/>
  <c r="H203" i="19"/>
  <c r="K203" i="19" s="1"/>
  <c r="H211" i="19"/>
  <c r="K211" i="19" s="1"/>
  <c r="H269" i="19"/>
  <c r="K269" i="19" s="1"/>
  <c r="F56" i="19"/>
  <c r="H55" i="19"/>
  <c r="K55" i="19" s="1"/>
  <c r="H63" i="19"/>
  <c r="K63" i="19" s="1"/>
  <c r="H90" i="19"/>
  <c r="K90" i="19" s="1"/>
  <c r="F120" i="19"/>
  <c r="H119" i="19"/>
  <c r="K119" i="19" s="1"/>
  <c r="K133" i="19"/>
  <c r="F141" i="19"/>
  <c r="H140" i="19"/>
  <c r="K140" i="19" s="1"/>
  <c r="H148" i="19"/>
  <c r="K148" i="19" s="1"/>
  <c r="H152" i="19"/>
  <c r="K152" i="19" s="1"/>
  <c r="K153" i="19"/>
  <c r="K160" i="19"/>
  <c r="H163" i="19"/>
  <c r="K163" i="19" s="1"/>
  <c r="H206" i="19"/>
  <c r="K206" i="19" s="1"/>
  <c r="F79" i="19"/>
  <c r="F99" i="19"/>
  <c r="K162" i="19"/>
  <c r="H215" i="19"/>
  <c r="K215" i="19" s="1"/>
  <c r="H240" i="19"/>
  <c r="K240" i="19" s="1"/>
  <c r="H291" i="19"/>
  <c r="K291" i="19" s="1"/>
  <c r="H294" i="19"/>
  <c r="K294" i="19" s="1"/>
  <c r="H308" i="19"/>
  <c r="K308" i="19" s="1"/>
  <c r="H398" i="19"/>
  <c r="K398" i="19" s="1"/>
  <c r="H417" i="19"/>
  <c r="K417" i="19" s="1"/>
  <c r="H61" i="19"/>
  <c r="K61" i="19" s="1"/>
  <c r="H62" i="19"/>
  <c r="K62" i="19" s="1"/>
  <c r="K69" i="19"/>
  <c r="H78" i="19"/>
  <c r="K78" i="19" s="1"/>
  <c r="K94" i="19"/>
  <c r="H98" i="19"/>
  <c r="K98" i="19" s="1"/>
  <c r="H122" i="19"/>
  <c r="K122" i="19" s="1"/>
  <c r="F127" i="19"/>
  <c r="H131" i="19"/>
  <c r="K131" i="19" s="1"/>
  <c r="H146" i="19"/>
  <c r="K146" i="19" s="1"/>
  <c r="H147" i="19"/>
  <c r="K147" i="19" s="1"/>
  <c r="K178" i="19"/>
  <c r="K182" i="19"/>
  <c r="K191" i="19"/>
  <c r="K201" i="19"/>
  <c r="K208" i="19"/>
  <c r="H219" i="19"/>
  <c r="K219" i="19" s="1"/>
  <c r="H247" i="19"/>
  <c r="K247" i="19" s="1"/>
  <c r="H267" i="19"/>
  <c r="K267" i="19" s="1"/>
  <c r="H270" i="19"/>
  <c r="K270" i="19" s="1"/>
  <c r="H283" i="19"/>
  <c r="K283" i="19" s="1"/>
  <c r="H286" i="19"/>
  <c r="K286" i="19" s="1"/>
  <c r="H302" i="19"/>
  <c r="H519" i="19"/>
  <c r="K519" i="19" s="1"/>
  <c r="K229" i="19"/>
  <c r="K236" i="19"/>
  <c r="K243" i="19"/>
  <c r="K265" i="19"/>
  <c r="K281" i="19"/>
  <c r="K330" i="19"/>
  <c r="H334" i="19"/>
  <c r="K334" i="19" s="1"/>
  <c r="K336" i="19"/>
  <c r="H385" i="19"/>
  <c r="K385" i="19" s="1"/>
  <c r="H390" i="19"/>
  <c r="K390" i="19" s="1"/>
  <c r="K392" i="19"/>
  <c r="H427" i="19"/>
  <c r="K427" i="19" s="1"/>
  <c r="H449" i="19"/>
  <c r="K285" i="19"/>
  <c r="K302" i="19"/>
  <c r="H314" i="19"/>
  <c r="H368" i="19"/>
  <c r="K368" i="19" s="1"/>
  <c r="H374" i="19"/>
  <c r="K374" i="19" s="1"/>
  <c r="H386" i="19"/>
  <c r="K386" i="19" s="1"/>
  <c r="H409" i="19"/>
  <c r="K409" i="19" s="1"/>
  <c r="H413" i="19"/>
  <c r="K413" i="19" s="1"/>
  <c r="H463" i="19"/>
  <c r="K463" i="19" s="1"/>
  <c r="H483" i="19"/>
  <c r="K483" i="19" s="1"/>
  <c r="H263" i="19"/>
  <c r="K263" i="19" s="1"/>
  <c r="K314" i="19"/>
  <c r="H356" i="19"/>
  <c r="K356" i="19" s="1"/>
  <c r="H372" i="19"/>
  <c r="K372" i="19" s="1"/>
  <c r="H402" i="19"/>
  <c r="K402" i="19" s="1"/>
  <c r="H428" i="19"/>
  <c r="K428" i="19" s="1"/>
  <c r="H469" i="19"/>
  <c r="H501" i="19"/>
  <c r="K501" i="19" s="1"/>
  <c r="H523" i="19"/>
  <c r="K523" i="19" s="1"/>
  <c r="K443" i="19"/>
  <c r="H447" i="19"/>
  <c r="K447" i="19" s="1"/>
  <c r="K449" i="19"/>
  <c r="H461" i="19"/>
  <c r="H467" i="19"/>
  <c r="K467" i="19" s="1"/>
  <c r="K469" i="19"/>
  <c r="H499" i="19"/>
  <c r="K499" i="19" s="1"/>
  <c r="H453" i="19"/>
  <c r="K453" i="19" s="1"/>
  <c r="H459" i="19"/>
  <c r="K461" i="19"/>
  <c r="H490" i="19"/>
  <c r="K490" i="19" s="1"/>
  <c r="H497" i="19"/>
  <c r="K497" i="19" s="1"/>
  <c r="H515" i="19"/>
  <c r="H539" i="19"/>
  <c r="K539" i="19" s="1"/>
  <c r="H556" i="19"/>
  <c r="F565" i="19"/>
  <c r="H564" i="19"/>
  <c r="K564" i="19" s="1"/>
  <c r="H569" i="19"/>
  <c r="K569" i="19" s="1"/>
  <c r="H354" i="19"/>
  <c r="K354" i="19" s="1"/>
  <c r="H366" i="19"/>
  <c r="K366" i="19" s="1"/>
  <c r="K419" i="19"/>
  <c r="H423" i="19"/>
  <c r="K423" i="19" s="1"/>
  <c r="K431" i="19"/>
  <c r="H439" i="19"/>
  <c r="K439" i="19" s="1"/>
  <c r="H451" i="19"/>
  <c r="K451" i="19" s="1"/>
  <c r="H457" i="19"/>
  <c r="K457" i="19" s="1"/>
  <c r="K459" i="19"/>
  <c r="H477" i="19"/>
  <c r="K477" i="19" s="1"/>
  <c r="H503" i="19"/>
  <c r="K503" i="19" s="1"/>
  <c r="H507" i="19"/>
  <c r="K507" i="19" s="1"/>
  <c r="H511" i="19"/>
  <c r="K511" i="19" s="1"/>
  <c r="K515" i="19"/>
  <c r="H527" i="19"/>
  <c r="K527" i="19" s="1"/>
  <c r="H531" i="19"/>
  <c r="K531" i="19" s="1"/>
  <c r="H535" i="19"/>
  <c r="K535" i="19" s="1"/>
  <c r="K556" i="19"/>
  <c r="A19" i="21" l="1"/>
  <c r="A20" i="21" s="1"/>
  <c r="A21" i="21" s="1"/>
  <c r="H99" i="19"/>
  <c r="K99" i="19" s="1"/>
  <c r="H127" i="19"/>
  <c r="K127" i="19" s="1"/>
  <c r="H79" i="19"/>
  <c r="K79" i="19" s="1"/>
  <c r="H28" i="19"/>
  <c r="K28" i="19" s="1"/>
  <c r="H14" i="19"/>
  <c r="K14" i="19" s="1"/>
  <c r="H141" i="19"/>
  <c r="K141" i="19" s="1"/>
  <c r="H21" i="19"/>
  <c r="K21" i="19" s="1"/>
  <c r="H106" i="19"/>
  <c r="K106" i="19" s="1"/>
  <c r="H72" i="19"/>
  <c r="K72" i="19" s="1"/>
  <c r="A13" i="19"/>
  <c r="H113" i="19"/>
  <c r="K113" i="19" s="1"/>
  <c r="H565" i="19"/>
  <c r="K565" i="19" s="1"/>
  <c r="H42" i="19"/>
  <c r="K42" i="19" s="1"/>
  <c r="H120" i="19"/>
  <c r="K120" i="19" s="1"/>
  <c r="H56" i="19"/>
  <c r="K56" i="19" s="1"/>
  <c r="H155" i="19"/>
  <c r="K155" i="19" s="1"/>
  <c r="H170" i="19"/>
  <c r="K170" i="19" s="1"/>
  <c r="H86" i="19"/>
  <c r="K86" i="19" s="1"/>
  <c r="A24" i="21" l="1"/>
  <c r="A26" i="21"/>
  <c r="A29" i="21" s="1"/>
  <c r="A34" i="21" s="1"/>
  <c r="A36" i="21" s="1"/>
  <c r="A25" i="21"/>
  <c r="L571" i="19"/>
  <c r="L574" i="19" s="1"/>
  <c r="K574" i="19"/>
  <c r="K575" i="19" s="1"/>
  <c r="C5" i="19" s="1"/>
  <c r="E5" i="13" s="1"/>
  <c r="A14" i="19"/>
  <c r="A15" i="19" s="1"/>
  <c r="A38" i="21" l="1"/>
  <c r="A40" i="21" s="1"/>
  <c r="A42" i="21" s="1"/>
  <c r="A44" i="21" s="1"/>
  <c r="A48" i="21" s="1"/>
  <c r="A50" i="21" s="1"/>
  <c r="A52" i="21" s="1"/>
  <c r="A54"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8" i="21" s="1"/>
  <c r="A109" i="21" s="1"/>
  <c r="A110" i="21" s="1"/>
  <c r="A111" i="21" s="1"/>
  <c r="A113" i="21" s="1"/>
  <c r="A114" i="21" s="1"/>
  <c r="A116" i="21" s="1"/>
  <c r="A117" i="21" s="1"/>
  <c r="A118" i="21" s="1"/>
  <c r="A123" i="21" s="1"/>
  <c r="A124" i="21" s="1"/>
  <c r="A125" i="21" s="1"/>
  <c r="A130" i="21" s="1"/>
  <c r="A131" i="21" s="1"/>
  <c r="A132" i="21" s="1"/>
  <c r="A133" i="21" s="1"/>
  <c r="A134" i="21" s="1"/>
  <c r="A135" i="21" s="1"/>
  <c r="A141" i="21" s="1"/>
  <c r="A142" i="21" s="1"/>
  <c r="A143" i="21" s="1"/>
  <c r="A144" i="21" s="1"/>
  <c r="A145" i="21" s="1"/>
  <c r="A146" i="21" s="1"/>
  <c r="A152" i="21" s="1"/>
  <c r="A153" i="21" s="1"/>
  <c r="A154" i="21" s="1"/>
  <c r="A155" i="21" s="1"/>
  <c r="A156" i="21" s="1"/>
  <c r="A161" i="21" s="1"/>
  <c r="A163" i="21" s="1"/>
  <c r="A165" i="21" s="1"/>
  <c r="A167" i="21" s="1"/>
  <c r="A172" i="21" s="1"/>
  <c r="A173" i="21" s="1"/>
  <c r="A174" i="21" s="1"/>
  <c r="A175" i="21" s="1"/>
  <c r="A176" i="21" s="1"/>
  <c r="A182" i="21" s="1"/>
  <c r="A183" i="21" s="1"/>
  <c r="A184" i="21" s="1"/>
  <c r="A185" i="21" s="1"/>
  <c r="A186" i="21" s="1"/>
  <c r="A187" i="21" s="1"/>
  <c r="A188" i="21" s="1"/>
  <c r="A189" i="21" s="1"/>
  <c r="A196" i="21" s="1"/>
  <c r="A197" i="21" s="1"/>
  <c r="A198" i="21" s="1"/>
  <c r="A199" i="21" s="1"/>
  <c r="A200" i="21" s="1"/>
  <c r="A203" i="21" s="1"/>
  <c r="A204" i="21" s="1"/>
  <c r="A205" i="21" s="1"/>
  <c r="A206" i="21" s="1"/>
  <c r="A207" i="21" s="1"/>
  <c r="A210" i="21" s="1"/>
  <c r="A211" i="21" s="1"/>
  <c r="A212" i="21" s="1"/>
  <c r="A213" i="21" s="1"/>
  <c r="A214" i="21" s="1"/>
  <c r="A216" i="21" s="1"/>
  <c r="A217" i="21" s="1"/>
  <c r="A223" i="21" s="1"/>
  <c r="A224" i="21" s="1"/>
  <c r="A226" i="21" s="1"/>
  <c r="A227" i="21" s="1"/>
  <c r="A228" i="21" s="1"/>
  <c r="A231" i="21" s="1"/>
  <c r="A234" i="21" s="1"/>
  <c r="A235" i="21" s="1"/>
  <c r="A236" i="21" s="1"/>
  <c r="A239" i="21" s="1"/>
  <c r="A240" i="21" s="1"/>
  <c r="A243" i="21" s="1"/>
  <c r="A244" i="21" s="1"/>
  <c r="A247" i="21" s="1"/>
  <c r="A250" i="21" s="1"/>
  <c r="A253" i="21" s="1"/>
  <c r="A254" i="21" s="1"/>
  <c r="A255" i="21" s="1"/>
  <c r="A256" i="21" s="1"/>
  <c r="A257" i="21" s="1"/>
  <c r="A260" i="21" s="1"/>
  <c r="A263" i="21" s="1"/>
  <c r="A264" i="21" s="1"/>
  <c r="A271" i="21" s="1"/>
  <c r="A272" i="21" s="1"/>
  <c r="A273" i="21" s="1"/>
  <c r="A274" i="21" s="1"/>
  <c r="A275" i="21" s="1"/>
  <c r="A276" i="21" s="1"/>
  <c r="A279" i="21" s="1"/>
  <c r="A280" i="21" s="1"/>
  <c r="A281" i="21" s="1"/>
  <c r="A284" i="21" s="1"/>
  <c r="A285" i="21" s="1"/>
  <c r="A286" i="21" s="1"/>
  <c r="A290" i="21" s="1"/>
  <c r="A291" i="21" s="1"/>
  <c r="A292" i="21" s="1"/>
  <c r="A293" i="21" s="1"/>
  <c r="A294" i="21" s="1"/>
  <c r="A295" i="21" s="1"/>
  <c r="A301" i="21" s="1"/>
  <c r="A302" i="21" s="1"/>
  <c r="A303" i="21" s="1"/>
  <c r="A304" i="21" s="1"/>
  <c r="A305" i="21" s="1"/>
  <c r="A307" i="21" s="1"/>
  <c r="A308" i="21" s="1"/>
  <c r="A309" i="21" s="1"/>
  <c r="A310" i="21" s="1"/>
  <c r="A311" i="21" s="1"/>
  <c r="A313" i="21" s="1"/>
  <c r="A314" i="21" s="1"/>
  <c r="A315" i="21" s="1"/>
  <c r="A316" i="21" s="1"/>
  <c r="A317" i="21" s="1"/>
  <c r="A320" i="21" s="1"/>
  <c r="A321" i="21" s="1"/>
  <c r="A322" i="21" s="1"/>
  <c r="A323" i="21" s="1"/>
  <c r="A324" i="21" s="1"/>
  <c r="A327" i="21" s="1"/>
  <c r="A328" i="21" s="1"/>
  <c r="A331" i="21" s="1"/>
  <c r="A332" i="21" s="1"/>
  <c r="A333" i="21" s="1"/>
  <c r="A334" i="21" s="1"/>
  <c r="A335" i="21" s="1"/>
  <c r="A338" i="21" s="1"/>
  <c r="A339" i="21" s="1"/>
  <c r="A342" i="21" s="1"/>
  <c r="A343" i="21" s="1"/>
  <c r="A346" i="21" s="1"/>
  <c r="A347" i="21" s="1"/>
  <c r="A348" i="21" s="1"/>
  <c r="A349" i="21" s="1"/>
  <c r="A350" i="21" s="1"/>
  <c r="A351" i="21" s="1"/>
  <c r="A356" i="21" s="1"/>
  <c r="A357" i="21" s="1"/>
  <c r="A358" i="21" s="1"/>
  <c r="A359" i="21" s="1"/>
  <c r="A360" i="21" s="1"/>
  <c r="A362" i="21" s="1"/>
  <c r="A363" i="21" s="1"/>
  <c r="A364" i="21" s="1"/>
  <c r="A365" i="21" s="1"/>
  <c r="A366" i="21" s="1"/>
  <c r="A369" i="21" s="1"/>
  <c r="A370" i="21" s="1"/>
  <c r="A371" i="21" s="1"/>
  <c r="A376" i="21" s="1"/>
  <c r="A377" i="21" s="1"/>
  <c r="A378" i="21" s="1"/>
  <c r="A379" i="21" s="1"/>
  <c r="A381" i="21" s="1"/>
  <c r="A382" i="21" s="1"/>
  <c r="A383" i="21" s="1"/>
  <c r="A384" i="21" s="1"/>
  <c r="A386" i="21" s="1"/>
  <c r="A387" i="21" s="1"/>
  <c r="A388" i="21" s="1"/>
  <c r="A389" i="21" s="1"/>
  <c r="A391" i="21" s="1"/>
  <c r="A392" i="21" s="1"/>
  <c r="A393" i="21" s="1"/>
  <c r="A394" i="21" s="1"/>
  <c r="A396" i="21" s="1"/>
  <c r="A397" i="21" s="1"/>
  <c r="A398" i="21" s="1"/>
  <c r="A399" i="21" s="1"/>
  <c r="A401" i="21" s="1"/>
  <c r="A402" i="21" s="1"/>
  <c r="A403" i="21" s="1"/>
  <c r="A404" i="21" s="1"/>
  <c r="A408" i="21" s="1"/>
  <c r="A409" i="21" s="1"/>
  <c r="A410" i="21" s="1"/>
  <c r="A411" i="21" s="1"/>
  <c r="A412" i="21" s="1"/>
  <c r="A413" i="21" s="1"/>
  <c r="A414" i="21" s="1"/>
  <c r="A415" i="21" s="1"/>
  <c r="A416" i="21" s="1"/>
  <c r="A417" i="21" s="1"/>
  <c r="A418" i="21" s="1"/>
  <c r="A419" i="21" s="1"/>
  <c r="A420" i="21" s="1"/>
  <c r="A425" i="21" s="1"/>
  <c r="A426" i="21" s="1"/>
  <c r="A427" i="21" s="1"/>
  <c r="A428" i="21" s="1"/>
  <c r="A431" i="21" s="1"/>
  <c r="A432" i="21" s="1"/>
  <c r="A433" i="21" s="1"/>
  <c r="A434" i="21" s="1"/>
  <c r="A439" i="21" s="1"/>
  <c r="A440" i="21" s="1"/>
  <c r="A441" i="21" s="1"/>
  <c r="A442" i="21" s="1"/>
  <c r="A444" i="21" s="1"/>
  <c r="A445" i="21" s="1"/>
  <c r="A446" i="21" s="1"/>
  <c r="A447" i="21" s="1"/>
  <c r="A449" i="21" s="1"/>
  <c r="A450" i="21" s="1"/>
  <c r="A451" i="21" s="1"/>
  <c r="A452" i="21" s="1"/>
  <c r="A456" i="21" s="1"/>
  <c r="A457" i="21" s="1"/>
  <c r="A458" i="21" s="1"/>
  <c r="A459" i="21" s="1"/>
  <c r="A460" i="21" s="1"/>
  <c r="A461" i="21" s="1"/>
  <c r="A466" i="21" s="1"/>
  <c r="A467" i="21" s="1"/>
  <c r="A468" i="21" s="1"/>
  <c r="A469" i="21" s="1"/>
  <c r="A470" i="21" s="1"/>
  <c r="A471" i="21" s="1"/>
  <c r="A472" i="21" s="1"/>
  <c r="A479" i="21" s="1"/>
  <c r="A481" i="21" s="1"/>
  <c r="A482" i="21" s="1"/>
  <c r="A483" i="21" s="1"/>
  <c r="A484" i="21" s="1"/>
  <c r="A485" i="21" s="1"/>
  <c r="A486" i="21" s="1"/>
  <c r="A488" i="21" s="1"/>
  <c r="A489" i="21" s="1"/>
  <c r="A490" i="21" s="1"/>
  <c r="A491" i="21" s="1"/>
  <c r="A492" i="21" s="1"/>
  <c r="A493" i="21" s="1"/>
  <c r="A495" i="21" s="1"/>
  <c r="A496" i="21" s="1"/>
  <c r="A497" i="21" s="1"/>
  <c r="A498" i="21" s="1"/>
  <c r="A499" i="21" s="1"/>
  <c r="A500" i="21" s="1"/>
  <c r="A502" i="21" s="1"/>
  <c r="A503" i="21" s="1"/>
  <c r="A504" i="21" s="1"/>
  <c r="A505" i="21" s="1"/>
  <c r="A506" i="21" s="1"/>
  <c r="A507" i="21" s="1"/>
  <c r="A509" i="21" s="1"/>
  <c r="A510" i="21" s="1"/>
  <c r="A511" i="21" s="1"/>
  <c r="A512" i="21" s="1"/>
  <c r="A513" i="21" s="1"/>
  <c r="A514" i="21" s="1"/>
  <c r="A517" i="21" s="1"/>
  <c r="A518" i="21" s="1"/>
  <c r="A519" i="21" s="1"/>
  <c r="A520" i="21" s="1"/>
  <c r="A521" i="21" s="1"/>
  <c r="A522" i="21" s="1"/>
  <c r="A523" i="21" s="1"/>
  <c r="A524" i="21" s="1"/>
  <c r="A527" i="21" s="1"/>
  <c r="A528" i="21" s="1"/>
  <c r="A529" i="21" s="1"/>
  <c r="A530" i="21" s="1"/>
  <c r="A531" i="21" s="1"/>
  <c r="A532" i="21" s="1"/>
  <c r="A533" i="21" s="1"/>
  <c r="A534" i="21" s="1"/>
  <c r="A535" i="21" s="1"/>
  <c r="A536" i="21" s="1"/>
  <c r="A537" i="21" s="1"/>
  <c r="A538" i="21" s="1"/>
  <c r="A539" i="21" s="1"/>
  <c r="A540" i="21" s="1"/>
  <c r="A543" i="21" s="1"/>
  <c r="A544" i="21" s="1"/>
  <c r="A545" i="21" s="1"/>
  <c r="A546" i="21" s="1"/>
  <c r="A547" i="21" s="1"/>
  <c r="A548" i="21" s="1"/>
  <c r="A549" i="21" s="1"/>
  <c r="A550" i="21" s="1"/>
  <c r="A551" i="21" s="1"/>
  <c r="A552" i="21" s="1"/>
  <c r="A555" i="21" s="1"/>
  <c r="A558" i="21" s="1"/>
  <c r="A559" i="21" s="1"/>
  <c r="A560" i="21" s="1"/>
  <c r="A561" i="21" s="1"/>
  <c r="A562" i="21" s="1"/>
  <c r="A563" i="21" s="1"/>
  <c r="A564" i="21" s="1"/>
  <c r="A565" i="21" s="1"/>
  <c r="A566" i="21" s="1"/>
  <c r="A567" i="21" s="1"/>
  <c r="A570" i="21" s="1"/>
  <c r="A573" i="21" s="1"/>
  <c r="A576" i="21" s="1"/>
  <c r="A580" i="21" s="1"/>
  <c r="A581" i="21" s="1"/>
  <c r="A582" i="21" s="1"/>
  <c r="A583" i="21" s="1"/>
  <c r="A585" i="21" s="1"/>
  <c r="A586" i="21" s="1"/>
  <c r="A587" i="21" s="1"/>
  <c r="A588" i="21" s="1"/>
  <c r="A590" i="21" s="1"/>
  <c r="A591" i="21" s="1"/>
  <c r="A592" i="21" s="1"/>
  <c r="A593" i="21" s="1"/>
  <c r="A595" i="21" s="1"/>
  <c r="A596" i="21" s="1"/>
  <c r="A597" i="21" s="1"/>
  <c r="A598" i="21" s="1"/>
  <c r="A601" i="21" s="1"/>
  <c r="A602" i="21" s="1"/>
  <c r="A603" i="21" s="1"/>
  <c r="A606" i="21" s="1"/>
  <c r="A609" i="21" s="1"/>
  <c r="A610" i="21" s="1"/>
  <c r="A611" i="21" s="1"/>
  <c r="A612" i="21" s="1"/>
  <c r="A613" i="21" s="1"/>
  <c r="A614" i="21" s="1"/>
  <c r="A615" i="21" s="1"/>
  <c r="A616" i="21" s="1"/>
  <c r="A617" i="21" s="1"/>
  <c r="A618" i="21" s="1"/>
  <c r="A619" i="21" s="1"/>
  <c r="A620" i="21" s="1"/>
  <c r="A621" i="21" s="1"/>
  <c r="A622" i="21" s="1"/>
  <c r="A623" i="21" s="1"/>
  <c r="A624" i="21" s="1"/>
  <c r="A625" i="21" s="1"/>
  <c r="A626" i="21" s="1"/>
  <c r="A627" i="21" s="1"/>
  <c r="A628" i="21" s="1"/>
  <c r="A629" i="21" s="1"/>
  <c r="A630" i="21" s="1"/>
  <c r="A631" i="21" s="1"/>
  <c r="A632" i="21" s="1"/>
  <c r="A634" i="21" s="1"/>
  <c r="A635" i="21" s="1"/>
  <c r="A636" i="21" s="1"/>
  <c r="A637" i="21" s="1"/>
  <c r="A642" i="21" s="1"/>
  <c r="A16" i="19"/>
  <c r="A18" i="19"/>
  <c r="A19" i="19" l="1"/>
  <c r="A20" i="19"/>
  <c r="A21" i="19" s="1"/>
  <c r="A22" i="19" s="1"/>
  <c r="A23" i="19" l="1"/>
  <c r="A25" i="19" l="1"/>
  <c r="A26" i="19" l="1"/>
  <c r="A27" i="19" l="1"/>
  <c r="A28" i="19" s="1"/>
  <c r="A29" i="19" s="1"/>
  <c r="A30" i="19" s="1"/>
  <c r="A32" i="19" s="1"/>
  <c r="A33" i="19" s="1"/>
  <c r="A34" i="19" s="1"/>
  <c r="A35" i="19" s="1"/>
  <c r="A36" i="19" s="1"/>
  <c r="A37" i="19" s="1"/>
  <c r="A39" i="19" s="1"/>
  <c r="A40" i="19" s="1"/>
  <c r="A41" i="19" s="1"/>
  <c r="A42" i="19" s="1"/>
  <c r="A43" i="19" l="1"/>
  <c r="A44" i="19" s="1"/>
  <c r="A46" i="19" s="1"/>
  <c r="A47" i="19" s="1"/>
  <c r="A48" i="19" s="1"/>
  <c r="A49" i="19" s="1"/>
  <c r="A50" i="19" s="1"/>
  <c r="A51" i="19" s="1"/>
  <c r="A53" i="19" s="1"/>
  <c r="A54" i="19" s="1"/>
  <c r="A55" i="19" s="1"/>
  <c r="A56" i="19" s="1"/>
  <c r="A57" i="19" s="1"/>
  <c r="A58" i="19" s="1"/>
  <c r="A60" i="19" s="1"/>
  <c r="A61" i="19" s="1"/>
  <c r="A62" i="19" s="1"/>
  <c r="A63" i="19" s="1"/>
  <c r="A64" i="19" s="1"/>
  <c r="A65" i="19" s="1"/>
  <c r="A69" i="19" s="1"/>
  <c r="A70" i="19" s="1"/>
  <c r="A71" i="19" s="1"/>
  <c r="A72" i="19" s="1"/>
  <c r="A73" i="19" s="1"/>
  <c r="A74" i="19" s="1"/>
  <c r="A76" i="19" s="1"/>
  <c r="A77" i="19" s="1"/>
  <c r="A78" i="19" s="1"/>
  <c r="A79" i="19" s="1"/>
  <c r="A80" i="19" s="1"/>
  <c r="A81" i="19" s="1"/>
  <c r="A83" i="19" s="1"/>
  <c r="A84" i="19" s="1"/>
  <c r="A85" i="19" s="1"/>
  <c r="A86" i="19" s="1"/>
  <c r="A87" i="19" s="1"/>
  <c r="A89" i="19" s="1"/>
  <c r="A90" i="19" s="1"/>
  <c r="A91" i="19" s="1"/>
  <c r="A92" i="19" s="1"/>
  <c r="A93" i="19" s="1"/>
  <c r="A94" i="19" s="1"/>
  <c r="A96" i="19" s="1"/>
  <c r="A97" i="19" s="1"/>
  <c r="A98" i="19" s="1"/>
  <c r="A99" i="19" s="1"/>
  <c r="A100" i="19" s="1"/>
  <c r="A101" i="19" s="1"/>
  <c r="A103" i="19" s="1"/>
  <c r="A104" i="19" s="1"/>
  <c r="A105" i="19" s="1"/>
  <c r="A106" i="19" s="1"/>
  <c r="A107" i="19" s="1"/>
  <c r="A108" i="19" s="1"/>
  <c r="A110" i="19" s="1"/>
  <c r="A111" i="19" s="1"/>
  <c r="A112" i="19" s="1"/>
  <c r="A113" i="19" s="1"/>
  <c r="A114" i="19" s="1"/>
  <c r="A115" i="19" s="1"/>
  <c r="A117" i="19" s="1"/>
  <c r="A118" i="19" s="1"/>
  <c r="A119" i="19" s="1"/>
  <c r="A120" i="19" s="1"/>
  <c r="A121" i="19" s="1"/>
  <c r="A122" i="19" s="1"/>
  <c r="A124" i="19" s="1"/>
  <c r="A125" i="19" s="1"/>
  <c r="A126" i="19" s="1"/>
  <c r="A127" i="19" s="1"/>
  <c r="A128" i="19" s="1"/>
  <c r="A129" i="19" s="1"/>
  <c r="A131" i="19" s="1"/>
  <c r="A132" i="19" s="1"/>
  <c r="A133" i="19" s="1"/>
  <c r="A134" i="19" s="1"/>
  <c r="A135" i="19" s="1"/>
  <c r="A136" i="19" s="1"/>
  <c r="A138" i="19" s="1"/>
  <c r="A139" i="19" s="1"/>
  <c r="A140" i="19" s="1"/>
  <c r="A141" i="19" s="1"/>
  <c r="A142" i="19" s="1"/>
  <c r="A143" i="19" s="1"/>
  <c r="A145" i="19" s="1"/>
  <c r="A146" i="19" s="1"/>
  <c r="A147" i="19" s="1"/>
  <c r="A148" i="19" s="1"/>
  <c r="A149" i="19" s="1"/>
  <c r="A150" i="19" s="1"/>
  <c r="A152" i="19" s="1"/>
  <c r="A153" i="19" s="1"/>
  <c r="A154" i="19" s="1"/>
  <c r="A155" i="19" s="1"/>
  <c r="A156" i="19" s="1"/>
  <c r="A157" i="19" s="1"/>
  <c r="A159" i="19" s="1"/>
  <c r="A160" i="19" s="1"/>
  <c r="A161" i="19" s="1"/>
  <c r="A162" i="19" s="1"/>
  <c r="A163" i="19" s="1"/>
  <c r="A167" i="19" s="1"/>
  <c r="A168" i="19" s="1"/>
  <c r="A169" i="19" s="1"/>
  <c r="A170" i="19" s="1"/>
  <c r="A171" i="19" s="1"/>
  <c r="A172" i="19" s="1"/>
  <c r="A173" i="19" s="1"/>
  <c r="A176" i="19" s="1"/>
  <c r="A177" i="19" s="1"/>
  <c r="A178" i="19" s="1"/>
  <c r="A179" i="19" s="1"/>
  <c r="A182" i="19" s="1"/>
  <c r="A183" i="19" s="1"/>
  <c r="A184" i="19" s="1"/>
  <c r="A188" i="19" s="1"/>
  <c r="A189" i="19" s="1"/>
  <c r="A190" i="19" s="1"/>
  <c r="A191" i="19" s="1"/>
  <c r="A192" i="19" s="1"/>
  <c r="A193" i="19" s="1"/>
  <c r="A194" i="19" s="1"/>
  <c r="A195" i="19" s="1"/>
  <c r="A196" i="19" s="1"/>
  <c r="A198" i="19" s="1"/>
  <c r="A199" i="19" s="1"/>
  <c r="A200" i="19" s="1"/>
  <c r="A201" i="19" s="1"/>
  <c r="A202" i="19" s="1"/>
  <c r="A203" i="19" s="1"/>
  <c r="A204" i="19" s="1"/>
  <c r="A205" i="19" s="1"/>
  <c r="A206" i="19" s="1"/>
  <c r="A208" i="19" s="1"/>
  <c r="A209" i="19" s="1"/>
  <c r="A210" i="19" s="1"/>
  <c r="A211" i="19" s="1"/>
  <c r="A213" i="19" s="1"/>
  <c r="A214" i="19" s="1"/>
  <c r="A215" i="19" s="1"/>
  <c r="A216" i="19" s="1"/>
  <c r="A217" i="19" s="1"/>
  <c r="A218" i="19" s="1"/>
  <c r="A219" i="19" s="1"/>
  <c r="A220" i="19" s="1"/>
  <c r="A221" i="19" s="1"/>
  <c r="A223" i="19" s="1"/>
  <c r="A224" i="19" s="1"/>
  <c r="A225" i="19" s="1"/>
  <c r="A226" i="19" s="1"/>
  <c r="A227" i="19" s="1"/>
  <c r="A228" i="19" s="1"/>
  <c r="A229" i="19" s="1"/>
  <c r="A230" i="19" s="1"/>
  <c r="A231" i="19" s="1"/>
  <c r="A232" i="19" s="1"/>
  <c r="A234" i="19" s="1"/>
  <c r="A235" i="19" s="1"/>
  <c r="A236" i="19" s="1"/>
  <c r="A237" i="19" s="1"/>
  <c r="A238" i="19" s="1"/>
  <c r="A239" i="19" s="1"/>
  <c r="A240" i="19" s="1"/>
  <c r="A241" i="19" s="1"/>
  <c r="A242" i="19" s="1"/>
  <c r="A243" i="19" s="1"/>
  <c r="A245" i="19" s="1"/>
  <c r="A246" i="19" s="1"/>
  <c r="A247" i="19" s="1"/>
  <c r="A248" i="19" s="1"/>
  <c r="A249" i="19" s="1"/>
  <c r="A250" i="19" s="1"/>
  <c r="A251" i="19" s="1"/>
  <c r="A252" i="19" s="1"/>
  <c r="A253" i="19" s="1"/>
  <c r="A255" i="19" s="1"/>
  <c r="A256" i="19" s="1"/>
  <c r="A257" i="19" s="1"/>
  <c r="A258" i="19" s="1"/>
  <c r="A259" i="19" s="1"/>
  <c r="A260" i="19" s="1"/>
  <c r="A261" i="19" s="1"/>
  <c r="A262" i="19" s="1"/>
  <c r="A263" i="19" s="1"/>
  <c r="A265" i="19" s="1"/>
  <c r="A266" i="19" s="1"/>
  <c r="A267" i="19" s="1"/>
  <c r="A268" i="19" s="1"/>
  <c r="A269" i="19" s="1"/>
  <c r="A270" i="19" s="1"/>
  <c r="A271" i="19" s="1"/>
  <c r="A273" i="19" s="1"/>
  <c r="A274" i="19" s="1"/>
  <c r="A275" i="19" s="1"/>
  <c r="A276" i="19" s="1"/>
  <c r="A277" i="19" s="1"/>
  <c r="A278" i="19" s="1"/>
  <c r="A279" i="19" s="1"/>
  <c r="A281" i="19" s="1"/>
  <c r="A282" i="19" s="1"/>
  <c r="A283" i="19" s="1"/>
  <c r="A284" i="19" s="1"/>
  <c r="A285" i="19" s="1"/>
  <c r="A286" i="19" s="1"/>
  <c r="A287" i="19" s="1"/>
  <c r="A288" i="19" s="1"/>
  <c r="A290" i="19" s="1"/>
  <c r="A291" i="19" s="1"/>
  <c r="A292" i="19" s="1"/>
  <c r="A293" i="19" s="1"/>
  <c r="A294" i="19" s="1"/>
  <c r="A295" i="19" s="1"/>
  <c r="A296" i="19" s="1"/>
  <c r="A298" i="19" s="1"/>
  <c r="A302" i="19" s="1"/>
  <c r="A303" i="19" s="1"/>
  <c r="A304" i="19" s="1"/>
  <c r="A305" i="19" s="1"/>
  <c r="A307" i="19" s="1"/>
  <c r="A308" i="19" s="1"/>
  <c r="A309" i="19" s="1"/>
  <c r="A310" i="19" s="1"/>
  <c r="A312" i="19" s="1"/>
  <c r="A313" i="19" s="1"/>
  <c r="A314" i="19" s="1"/>
  <c r="A315" i="19" s="1"/>
  <c r="A318" i="19" s="1"/>
  <c r="A319" i="19" s="1"/>
  <c r="A320" i="19" s="1"/>
  <c r="A321" i="19" s="1"/>
  <c r="A322" i="19" s="1"/>
  <c r="A323" i="19" s="1"/>
  <c r="A324" i="19" s="1"/>
  <c r="A326" i="19" s="1"/>
  <c r="A327" i="19" s="1"/>
  <c r="A328" i="19" s="1"/>
  <c r="A329" i="19" s="1"/>
  <c r="A330" i="19" s="1"/>
  <c r="A333" i="19" s="1"/>
  <c r="A334" i="19" s="1"/>
  <c r="A335" i="19" s="1"/>
  <c r="A336" i="19" s="1"/>
  <c r="A339" i="19" s="1"/>
  <c r="A340" i="19" s="1"/>
  <c r="A341" i="19" s="1"/>
  <c r="A342" i="19" s="1"/>
  <c r="A346" i="19" s="1"/>
  <c r="A347" i="19" s="1"/>
  <c r="A348" i="19" s="1"/>
  <c r="A349" i="19" s="1"/>
  <c r="A350" i="19" s="1"/>
  <c r="A352" i="19" s="1"/>
  <c r="A353" i="19" s="1"/>
  <c r="A354" i="19" s="1"/>
  <c r="A355" i="19" s="1"/>
  <c r="A356" i="19" s="1"/>
  <c r="A358" i="19" s="1"/>
  <c r="A359" i="19" s="1"/>
  <c r="A360" i="19" s="1"/>
  <c r="A361" i="19" s="1"/>
  <c r="A362" i="19" s="1"/>
  <c r="A364" i="19" s="1"/>
  <c r="A365" i="19" s="1"/>
  <c r="A366" i="19" s="1"/>
  <c r="A367" i="19" s="1"/>
  <c r="A368" i="19" s="1"/>
  <c r="A369" i="19" s="1"/>
  <c r="A372" i="19" s="1"/>
  <c r="A373" i="19" s="1"/>
  <c r="A374" i="19" s="1"/>
  <c r="A375" i="19" s="1"/>
  <c r="A378" i="19" s="1"/>
  <c r="A379" i="19" s="1"/>
  <c r="A380" i="19" s="1"/>
  <c r="A384" i="19" s="1"/>
  <c r="A385" i="19" s="1"/>
  <c r="A386" i="19" s="1"/>
  <c r="A387" i="19" s="1"/>
  <c r="A389" i="19" s="1"/>
  <c r="A390" i="19" s="1"/>
  <c r="A391" i="19" s="1"/>
  <c r="A392" i="19" s="1"/>
  <c r="A393" i="19" s="1"/>
  <c r="A395" i="19" s="1"/>
  <c r="A396" i="19" s="1"/>
  <c r="A397" i="19" s="1"/>
  <c r="A398" i="19" s="1"/>
  <c r="A401" i="19" s="1"/>
  <c r="A402" i="19" s="1"/>
  <c r="A405" i="19" s="1"/>
  <c r="A409" i="19" s="1"/>
  <c r="A410" i="19" s="1"/>
  <c r="A411" i="19" s="1"/>
  <c r="A412" i="19" s="1"/>
  <c r="A413" i="19" s="1"/>
  <c r="A414" i="19" s="1"/>
  <c r="A415" i="19" s="1"/>
  <c r="A417" i="19" s="1"/>
  <c r="A418" i="19" s="1"/>
  <c r="A419" i="19" s="1"/>
  <c r="A420" i="19" s="1"/>
  <c r="A421" i="19" s="1"/>
  <c r="A422" i="19" s="1"/>
  <c r="A423" i="19" s="1"/>
  <c r="A424" i="19" s="1"/>
  <c r="A426" i="19" s="1"/>
  <c r="A427" i="19" s="1"/>
  <c r="A428" i="19" s="1"/>
  <c r="A429" i="19" s="1"/>
  <c r="A430" i="19" s="1"/>
  <c r="A431" i="19" s="1"/>
  <c r="A432" i="19" s="1"/>
  <c r="A436" i="19" s="1"/>
  <c r="A437" i="19" s="1"/>
  <c r="A438" i="19" s="1"/>
  <c r="A439" i="19" s="1"/>
  <c r="A441" i="19" s="1"/>
  <c r="A442" i="19" s="1"/>
  <c r="A443" i="19" s="1"/>
  <c r="A444" i="19" s="1"/>
  <c r="A446" i="19" s="1"/>
  <c r="A447" i="19" s="1"/>
  <c r="A448" i="19" s="1"/>
  <c r="A449" i="19" s="1"/>
  <c r="A451" i="19" s="1"/>
  <c r="A452" i="19" s="1"/>
  <c r="A453" i="19" s="1"/>
  <c r="A454" i="19" s="1"/>
  <c r="A456" i="19" s="1"/>
  <c r="A457" i="19" s="1"/>
  <c r="A458" i="19" s="1"/>
  <c r="A459" i="19" s="1"/>
  <c r="A461" i="19" s="1"/>
  <c r="A462" i="19" s="1"/>
  <c r="A463" i="19" s="1"/>
  <c r="A464" i="19" s="1"/>
  <c r="A466" i="19" s="1"/>
  <c r="A467" i="19" s="1"/>
  <c r="A468" i="19" s="1"/>
  <c r="A469" i="19" s="1"/>
  <c r="A473" i="19" s="1"/>
  <c r="A474" i="19" s="1"/>
  <c r="A475" i="19" s="1"/>
  <c r="A476" i="19" s="1"/>
  <c r="A477" i="19" s="1"/>
  <c r="A479" i="19" s="1"/>
  <c r="A480" i="19" s="1"/>
  <c r="A481" i="19" s="1"/>
  <c r="A482" i="19" s="1"/>
  <c r="A483" i="19" s="1"/>
  <c r="A484" i="19" s="1"/>
  <c r="A487" i="19" s="1"/>
  <c r="A490" i="19" s="1"/>
  <c r="A491" i="19" s="1"/>
  <c r="A492" i="19" s="1"/>
  <c r="A493" i="19" s="1"/>
  <c r="A497" i="19" s="1"/>
  <c r="A498" i="19" s="1"/>
  <c r="A499" i="19" s="1"/>
  <c r="A500" i="19" s="1"/>
  <c r="A501" i="19" s="1"/>
  <c r="A503" i="19" s="1"/>
  <c r="A504" i="19" s="1"/>
  <c r="A505" i="19" s="1"/>
  <c r="A506" i="19" s="1"/>
  <c r="A507" i="19" s="1"/>
  <c r="A509" i="19" s="1"/>
  <c r="A510" i="19" s="1"/>
  <c r="A511" i="19" s="1"/>
  <c r="A512" i="19" s="1"/>
  <c r="A514" i="19" s="1"/>
  <c r="A515" i="19" s="1"/>
  <c r="A516" i="19" s="1"/>
  <c r="A517" i="19" s="1"/>
  <c r="A519" i="19" s="1"/>
  <c r="A520" i="19" s="1"/>
  <c r="A521" i="19" s="1"/>
  <c r="A522" i="19" s="1"/>
  <c r="A523" i="19" s="1"/>
  <c r="A524" i="19" s="1"/>
  <c r="A526" i="19" s="1"/>
  <c r="A527" i="19" s="1"/>
  <c r="A528" i="19" s="1"/>
  <c r="A529" i="19" s="1"/>
  <c r="A530" i="19" s="1"/>
  <c r="A531" i="19" s="1"/>
  <c r="A533" i="19" s="1"/>
  <c r="A534" i="19" s="1"/>
  <c r="A535" i="19" s="1"/>
  <c r="A536" i="19" s="1"/>
  <c r="A538" i="19" s="1"/>
  <c r="A539" i="19" s="1"/>
  <c r="A540" i="19" s="1"/>
  <c r="A541" i="19" s="1"/>
  <c r="A544" i="19" s="1"/>
  <c r="A545" i="19" s="1"/>
  <c r="A546" i="19" s="1"/>
  <c r="A549" i="19" s="1"/>
  <c r="A550" i="19" s="1"/>
  <c r="A553" i="19" s="1"/>
  <c r="A554" i="19" s="1"/>
  <c r="A555" i="19" s="1"/>
  <c r="A556" i="19" s="1"/>
  <c r="A557" i="19" s="1"/>
  <c r="A558" i="19" s="1"/>
  <c r="A559" i="19" s="1"/>
  <c r="A562" i="19" s="1"/>
  <c r="A563" i="19" s="1"/>
  <c r="A564" i="19" s="1"/>
  <c r="A565" i="19" s="1"/>
  <c r="A566" i="19" s="1"/>
  <c r="A567" i="19" s="1"/>
  <c r="A568" i="19" s="1"/>
  <c r="A569" i="19" s="1"/>
  <c r="J87" i="12"/>
  <c r="J81" i="12"/>
  <c r="H41" i="12"/>
  <c r="H46" i="12"/>
  <c r="K46" i="12" l="1"/>
  <c r="L48" i="12" s="1"/>
  <c r="E12" i="13" s="1"/>
  <c r="H1458" i="12" l="1"/>
  <c r="K1458" i="12" s="1"/>
  <c r="H1460" i="12"/>
  <c r="K1460" i="12" s="1"/>
  <c r="F92" i="12"/>
  <c r="F87" i="12"/>
  <c r="H87" i="12" s="1"/>
  <c r="K87" i="12" s="1"/>
  <c r="F86" i="12"/>
  <c r="H86" i="12" s="1"/>
  <c r="K86" i="12" s="1"/>
  <c r="H1454" i="12"/>
  <c r="K1454" i="12" s="1"/>
  <c r="H1455" i="12"/>
  <c r="K1455" i="12" s="1"/>
  <c r="H1456" i="12"/>
  <c r="K1456" i="12" s="1"/>
  <c r="H1457" i="12"/>
  <c r="K1457" i="12" s="1"/>
  <c r="H1459" i="12"/>
  <c r="K1459" i="12" s="1"/>
  <c r="H1450" i="12"/>
  <c r="K1450" i="12" s="1"/>
  <c r="H1451" i="12"/>
  <c r="K1451" i="12" s="1"/>
  <c r="H1452" i="12"/>
  <c r="K1452" i="12" s="1"/>
  <c r="H1445" i="12"/>
  <c r="K1445" i="12" s="1"/>
  <c r="L1447" i="12" s="1"/>
  <c r="E43" i="13" s="1"/>
  <c r="F1434" i="12"/>
  <c r="H1434" i="12" s="1"/>
  <c r="K1434" i="12" s="1"/>
  <c r="H1433" i="12"/>
  <c r="K1433" i="12" s="1"/>
  <c r="H1432" i="12"/>
  <c r="K1432" i="12" s="1"/>
  <c r="H1428" i="12"/>
  <c r="K1428" i="12" s="1"/>
  <c r="H1429" i="12"/>
  <c r="K1429" i="12" s="1"/>
  <c r="H1431" i="12"/>
  <c r="K1431" i="12" s="1"/>
  <c r="H1430" i="12"/>
  <c r="K1430" i="12" s="1"/>
  <c r="H1435" i="12"/>
  <c r="K1435" i="12" s="1"/>
  <c r="L1437" i="12" l="1"/>
  <c r="E41" i="13" s="1"/>
  <c r="L89" i="12"/>
  <c r="E18" i="13" s="1"/>
  <c r="F1377" i="12"/>
  <c r="F1378" i="12"/>
  <c r="H1378" i="12" s="1"/>
  <c r="K1378" i="12" s="1"/>
  <c r="F1379" i="12"/>
  <c r="H1379" i="12" s="1"/>
  <c r="J1379" i="12"/>
  <c r="F1363" i="12"/>
  <c r="H1363" i="12" s="1"/>
  <c r="K1363" i="12" s="1"/>
  <c r="F1368" i="12"/>
  <c r="H1368" i="12" s="1"/>
  <c r="K1368" i="12" s="1"/>
  <c r="L1370" i="12" s="1"/>
  <c r="E34" i="13" s="1"/>
  <c r="F1389" i="12"/>
  <c r="F1390" i="12"/>
  <c r="H1390" i="12" s="1"/>
  <c r="K1390" i="12" s="1"/>
  <c r="F1324" i="12"/>
  <c r="F65" i="12"/>
  <c r="K1379" i="12" l="1"/>
  <c r="L1365" i="12"/>
  <c r="E33" i="13" s="1"/>
  <c r="H1440" i="12" l="1"/>
  <c r="K1440" i="12" s="1"/>
  <c r="L1442" i="12" s="1"/>
  <c r="E42" i="13" s="1"/>
  <c r="H1383" i="12"/>
  <c r="K1383" i="12" s="1"/>
  <c r="H92" i="12"/>
  <c r="K92" i="12" s="1"/>
  <c r="L94" i="12" s="1"/>
  <c r="E19" i="13" s="1"/>
  <c r="H1382" i="12"/>
  <c r="K1382" i="12" s="1"/>
  <c r="H35" i="12"/>
  <c r="K35" i="12" s="1"/>
  <c r="F32" i="12"/>
  <c r="F31" i="12"/>
  <c r="H32" i="12" l="1"/>
  <c r="K32" i="12" s="1"/>
  <c r="J1347" i="12" l="1"/>
  <c r="J1358" i="12"/>
  <c r="J1525" i="12"/>
  <c r="J1523" i="12"/>
  <c r="J1503" i="12"/>
  <c r="J1496" i="12"/>
  <c r="J1495" i="12"/>
  <c r="J1494" i="12"/>
  <c r="J1493" i="12"/>
  <c r="J1492" i="12"/>
  <c r="J1488" i="12"/>
  <c r="J1489" i="12"/>
  <c r="J1502" i="12"/>
  <c r="J1375" i="12"/>
  <c r="J1376" i="12"/>
  <c r="A388" i="17"/>
  <c r="A387" i="17"/>
  <c r="A386" i="17"/>
  <c r="A385" i="17"/>
  <c r="H384" i="17"/>
  <c r="I384" i="17" s="1"/>
  <c r="A383" i="17"/>
  <c r="H382" i="17"/>
  <c r="G382" i="17"/>
  <c r="H381" i="17"/>
  <c r="G381" i="17"/>
  <c r="A378" i="17"/>
  <c r="A377" i="17"/>
  <c r="A376" i="17"/>
  <c r="H375" i="17"/>
  <c r="G375" i="17"/>
  <c r="A374" i="17"/>
  <c r="A373" i="17"/>
  <c r="A372" i="17"/>
  <c r="E370" i="17"/>
  <c r="G370" i="17" s="1"/>
  <c r="H367" i="17"/>
  <c r="G367" i="17"/>
  <c r="E366" i="17"/>
  <c r="G366" i="17" s="1"/>
  <c r="A364" i="17"/>
  <c r="A363" i="17"/>
  <c r="A362" i="17"/>
  <c r="H355" i="17"/>
  <c r="G355" i="17"/>
  <c r="H354" i="17"/>
  <c r="G354" i="17"/>
  <c r="A352" i="17"/>
  <c r="A351" i="17"/>
  <c r="A350" i="17"/>
  <c r="E348" i="17"/>
  <c r="G348" i="17" s="1"/>
  <c r="E346" i="17"/>
  <c r="G346" i="17" s="1"/>
  <c r="A345" i="17"/>
  <c r="A344" i="17"/>
  <c r="A343" i="17"/>
  <c r="E340" i="17"/>
  <c r="G340" i="17" s="1"/>
  <c r="E334" i="17"/>
  <c r="G334" i="17" s="1"/>
  <c r="A332" i="17"/>
  <c r="A331" i="17"/>
  <c r="A330" i="17"/>
  <c r="E327" i="17"/>
  <c r="G327" i="17" s="1"/>
  <c r="E323" i="17"/>
  <c r="G323" i="17" s="1"/>
  <c r="A322" i="17"/>
  <c r="A321" i="17"/>
  <c r="A320" i="17"/>
  <c r="E317" i="17"/>
  <c r="G317" i="17" s="1"/>
  <c r="E313" i="17"/>
  <c r="G313" i="17" s="1"/>
  <c r="A312" i="17"/>
  <c r="A311" i="17"/>
  <c r="A310" i="17"/>
  <c r="E307" i="17"/>
  <c r="G307" i="17" s="1"/>
  <c r="E301" i="17"/>
  <c r="G301" i="17" s="1"/>
  <c r="A299" i="17"/>
  <c r="A298" i="17"/>
  <c r="A297" i="17"/>
  <c r="F296" i="17"/>
  <c r="H296" i="17" s="1"/>
  <c r="E296" i="17"/>
  <c r="G296" i="17" s="1"/>
  <c r="H291" i="17"/>
  <c r="G291" i="17"/>
  <c r="H290" i="17"/>
  <c r="G290" i="17"/>
  <c r="H289" i="17"/>
  <c r="G289" i="17"/>
  <c r="H288" i="17"/>
  <c r="G288" i="17"/>
  <c r="H287" i="17"/>
  <c r="G287" i="17"/>
  <c r="H286" i="17"/>
  <c r="G286" i="17"/>
  <c r="H278" i="17"/>
  <c r="G278" i="17"/>
  <c r="H277" i="17"/>
  <c r="G277" i="17"/>
  <c r="E271" i="17"/>
  <c r="G271" i="17" s="1"/>
  <c r="A269" i="17"/>
  <c r="A268" i="17"/>
  <c r="A267" i="17"/>
  <c r="F261" i="17"/>
  <c r="H261" i="17" s="1"/>
  <c r="E261" i="17"/>
  <c r="G261" i="17" s="1"/>
  <c r="H260" i="17"/>
  <c r="G260" i="17"/>
  <c r="F259" i="17"/>
  <c r="H259" i="17" s="1"/>
  <c r="E259" i="17"/>
  <c r="G259" i="17" s="1"/>
  <c r="F258" i="17"/>
  <c r="H258" i="17" s="1"/>
  <c r="E258" i="17"/>
  <c r="G258" i="17" s="1"/>
  <c r="F257" i="17"/>
  <c r="H257" i="17" s="1"/>
  <c r="E257" i="17"/>
  <c r="G257" i="17" s="1"/>
  <c r="F256" i="17"/>
  <c r="H256" i="17" s="1"/>
  <c r="E256" i="17"/>
  <c r="G256" i="17" s="1"/>
  <c r="F357" i="17"/>
  <c r="H357" i="17" s="1"/>
  <c r="G250" i="17"/>
  <c r="H249" i="17"/>
  <c r="G249" i="17"/>
  <c r="A247" i="17"/>
  <c r="A246" i="17"/>
  <c r="A245" i="17"/>
  <c r="E243" i="17"/>
  <c r="G243" i="17" s="1"/>
  <c r="E241" i="17"/>
  <c r="G241" i="17" s="1"/>
  <c r="A240" i="17"/>
  <c r="A239" i="17"/>
  <c r="A238" i="17"/>
  <c r="E235" i="17"/>
  <c r="G235" i="17" s="1"/>
  <c r="E229" i="17"/>
  <c r="G229" i="17" s="1"/>
  <c r="A227" i="17"/>
  <c r="A226" i="17"/>
  <c r="A225" i="17"/>
  <c r="E222" i="17"/>
  <c r="G222" i="17" s="1"/>
  <c r="E218" i="17"/>
  <c r="G218" i="17" s="1"/>
  <c r="A217" i="17"/>
  <c r="A216" i="17"/>
  <c r="A215" i="17"/>
  <c r="E212" i="17"/>
  <c r="G212" i="17" s="1"/>
  <c r="E208" i="17"/>
  <c r="G208" i="17" s="1"/>
  <c r="A207" i="17"/>
  <c r="A206" i="17"/>
  <c r="A205" i="17"/>
  <c r="E202" i="17"/>
  <c r="G202" i="17" s="1"/>
  <c r="E196" i="17"/>
  <c r="G196" i="17" s="1"/>
  <c r="A194" i="17"/>
  <c r="A193" i="17"/>
  <c r="A192" i="17"/>
  <c r="F191" i="17"/>
  <c r="H191" i="17" s="1"/>
  <c r="E191" i="17"/>
  <c r="G191" i="17" s="1"/>
  <c r="E294" i="17"/>
  <c r="G294" i="17" s="1"/>
  <c r="H188" i="17"/>
  <c r="G188" i="17"/>
  <c r="H187" i="17"/>
  <c r="F293" i="17"/>
  <c r="H293" i="17" s="1"/>
  <c r="E293" i="17"/>
  <c r="G293" i="17" s="1"/>
  <c r="F279" i="17"/>
  <c r="H279" i="17" s="1"/>
  <c r="E279" i="17"/>
  <c r="G279" i="17" s="1"/>
  <c r="F273" i="17"/>
  <c r="H273" i="17" s="1"/>
  <c r="E174" i="17"/>
  <c r="G174" i="17" s="1"/>
  <c r="A172" i="17"/>
  <c r="A171" i="17"/>
  <c r="A170" i="17"/>
  <c r="H164" i="17"/>
  <c r="G164" i="17"/>
  <c r="I164" i="17" s="1"/>
  <c r="F162" i="17"/>
  <c r="H162" i="17" s="1"/>
  <c r="I162" i="17" s="1"/>
  <c r="E162" i="17"/>
  <c r="G162" i="17" s="1"/>
  <c r="F161" i="17"/>
  <c r="H161" i="17" s="1"/>
  <c r="E161" i="17"/>
  <c r="G161" i="17" s="1"/>
  <c r="I161" i="17" s="1"/>
  <c r="H160" i="17"/>
  <c r="G160" i="17"/>
  <c r="F156" i="17"/>
  <c r="H156" i="17" s="1"/>
  <c r="E252" i="17"/>
  <c r="G252" i="17" s="1"/>
  <c r="A152" i="17"/>
  <c r="A151" i="17"/>
  <c r="A150" i="17"/>
  <c r="E148" i="17"/>
  <c r="G148" i="17" s="1"/>
  <c r="H147" i="17"/>
  <c r="E146" i="17"/>
  <c r="G146" i="17" s="1"/>
  <c r="A145" i="17"/>
  <c r="A144" i="17"/>
  <c r="A143" i="17"/>
  <c r="E140" i="17"/>
  <c r="G140" i="17" s="1"/>
  <c r="E133" i="17"/>
  <c r="G133" i="17" s="1"/>
  <c r="H132" i="17"/>
  <c r="G132" i="17"/>
  <c r="A127" i="17"/>
  <c r="A126" i="17"/>
  <c r="A125" i="17"/>
  <c r="E122" i="17"/>
  <c r="G122" i="17" s="1"/>
  <c r="E118" i="17"/>
  <c r="G118" i="17" s="1"/>
  <c r="A115" i="17"/>
  <c r="A114" i="17"/>
  <c r="A113" i="17"/>
  <c r="E110" i="17"/>
  <c r="G110" i="17" s="1"/>
  <c r="E106" i="17"/>
  <c r="G106" i="17" s="1"/>
  <c r="A103" i="17"/>
  <c r="A102" i="17"/>
  <c r="A101" i="17"/>
  <c r="E98" i="17"/>
  <c r="G98" i="17" s="1"/>
  <c r="H96" i="17"/>
  <c r="E109" i="17"/>
  <c r="G109" i="17" s="1"/>
  <c r="E336" i="17"/>
  <c r="G336" i="17" s="1"/>
  <c r="E92" i="17"/>
  <c r="G92" i="17" s="1"/>
  <c r="H89" i="17"/>
  <c r="G89" i="17"/>
  <c r="A88" i="17"/>
  <c r="A87" i="17"/>
  <c r="A86" i="17"/>
  <c r="H85" i="17"/>
  <c r="G85" i="17"/>
  <c r="E190" i="17"/>
  <c r="G190" i="17" s="1"/>
  <c r="H83" i="17"/>
  <c r="G83" i="17"/>
  <c r="H82" i="17"/>
  <c r="G82" i="17"/>
  <c r="F292" i="17"/>
  <c r="H292" i="17" s="1"/>
  <c r="E292" i="17"/>
  <c r="G292" i="17" s="1"/>
  <c r="H79" i="17"/>
  <c r="F284" i="17"/>
  <c r="H284" i="17" s="1"/>
  <c r="G79" i="17"/>
  <c r="G78" i="17"/>
  <c r="F283" i="17"/>
  <c r="H283" i="17" s="1"/>
  <c r="H76" i="17"/>
  <c r="F281" i="17"/>
  <c r="H281" i="17" s="1"/>
  <c r="G76" i="17"/>
  <c r="I76" i="17" s="1"/>
  <c r="G75" i="17"/>
  <c r="G73" i="17"/>
  <c r="H72" i="17"/>
  <c r="G71" i="17"/>
  <c r="E70" i="17"/>
  <c r="G70" i="17" s="1"/>
  <c r="A68" i="17"/>
  <c r="A67" i="17"/>
  <c r="A66" i="17"/>
  <c r="H65" i="17"/>
  <c r="G65" i="17"/>
  <c r="H64" i="17"/>
  <c r="H63" i="17"/>
  <c r="E168" i="17"/>
  <c r="G168" i="17" s="1"/>
  <c r="H62" i="17"/>
  <c r="G62" i="17"/>
  <c r="F167" i="17"/>
  <c r="H167" i="17" s="1"/>
  <c r="G61" i="17"/>
  <c r="F166" i="17"/>
  <c r="H166" i="17" s="1"/>
  <c r="H59" i="17"/>
  <c r="E263" i="17"/>
  <c r="G263" i="17" s="1"/>
  <c r="F262" i="17"/>
  <c r="H262" i="17" s="1"/>
  <c r="F163" i="17"/>
  <c r="H163" i="17" s="1"/>
  <c r="E163" i="17"/>
  <c r="G163" i="17" s="1"/>
  <c r="H56" i="17"/>
  <c r="G56" i="17"/>
  <c r="H55" i="17"/>
  <c r="G55" i="17"/>
  <c r="H54" i="17"/>
  <c r="G54" i="17"/>
  <c r="H53" i="17"/>
  <c r="G53" i="17"/>
  <c r="H52" i="17"/>
  <c r="G51" i="17"/>
  <c r="H51" i="17"/>
  <c r="E254" i="17"/>
  <c r="G254" i="17" s="1"/>
  <c r="H49" i="17"/>
  <c r="G49" i="17"/>
  <c r="F50" i="17"/>
  <c r="H50" i="17" s="1"/>
  <c r="E50" i="17"/>
  <c r="G50" i="17" s="1"/>
  <c r="H47" i="17"/>
  <c r="E153" i="17"/>
  <c r="G153" i="17" s="1"/>
  <c r="A46" i="17"/>
  <c r="A45" i="17"/>
  <c r="A44" i="17"/>
  <c r="E42" i="17"/>
  <c r="G42" i="17" s="1"/>
  <c r="H41" i="17"/>
  <c r="F139" i="17"/>
  <c r="H139" i="17" s="1"/>
  <c r="E195" i="17"/>
  <c r="G195" i="17" s="1"/>
  <c r="E137" i="17"/>
  <c r="G137" i="17" s="1"/>
  <c r="F136" i="17"/>
  <c r="H136" i="17" s="1"/>
  <c r="E136" i="17"/>
  <c r="G136" i="17" s="1"/>
  <c r="F128" i="17"/>
  <c r="H128" i="17" s="1"/>
  <c r="E128" i="17"/>
  <c r="G128" i="17" s="1"/>
  <c r="A36" i="17"/>
  <c r="A35" i="17"/>
  <c r="A34" i="17"/>
  <c r="E31" i="17"/>
  <c r="G31" i="17" s="1"/>
  <c r="A26" i="17"/>
  <c r="A25" i="17"/>
  <c r="A24" i="17"/>
  <c r="F123" i="17"/>
  <c r="H123" i="17" s="1"/>
  <c r="E203" i="17"/>
  <c r="G203" i="17" s="1"/>
  <c r="E21" i="17"/>
  <c r="G21" i="17" s="1"/>
  <c r="F30" i="17"/>
  <c r="H30" i="17" s="1"/>
  <c r="E30" i="17"/>
  <c r="G30" i="17" s="1"/>
  <c r="F117" i="17"/>
  <c r="H117" i="17" s="1"/>
  <c r="E105" i="17"/>
  <c r="G105" i="17" s="1"/>
  <c r="A16" i="17"/>
  <c r="A15" i="17"/>
  <c r="A14" i="17"/>
  <c r="E142" i="17"/>
  <c r="G142" i="17" s="1"/>
  <c r="G12" i="17"/>
  <c r="F98" i="17"/>
  <c r="H98" i="17" s="1"/>
  <c r="H11" i="17"/>
  <c r="E29" i="17"/>
  <c r="G29" i="17" s="1"/>
  <c r="F116" i="17"/>
  <c r="H116" i="17" s="1"/>
  <c r="E90" i="17"/>
  <c r="G90" i="17" s="1"/>
  <c r="A9" i="17"/>
  <c r="A8" i="17"/>
  <c r="A7" i="17"/>
  <c r="A10" i="17" l="1"/>
  <c r="I54" i="17"/>
  <c r="I296" i="17"/>
  <c r="I62" i="17"/>
  <c r="I160" i="17"/>
  <c r="I89" i="17"/>
  <c r="I260" i="17"/>
  <c r="G59" i="17"/>
  <c r="I59" i="17" s="1"/>
  <c r="I382" i="17"/>
  <c r="I286" i="17"/>
  <c r="I354" i="17"/>
  <c r="E33" i="17"/>
  <c r="G33" i="17" s="1"/>
  <c r="G94" i="17"/>
  <c r="G20" i="17"/>
  <c r="F28" i="17"/>
  <c r="H28" i="17" s="1"/>
  <c r="H78" i="17"/>
  <c r="I78" i="17" s="1"/>
  <c r="I290" i="17"/>
  <c r="I355" i="17"/>
  <c r="H18" i="17"/>
  <c r="H20" i="17"/>
  <c r="G63" i="17"/>
  <c r="G13" i="17"/>
  <c r="F17" i="17"/>
  <c r="H17" i="17" s="1"/>
  <c r="I82" i="17"/>
  <c r="I85" i="17"/>
  <c r="G96" i="17"/>
  <c r="I96" i="17" s="1"/>
  <c r="I288" i="17"/>
  <c r="I257" i="17"/>
  <c r="I136" i="17"/>
  <c r="E124" i="17"/>
  <c r="G124" i="17" s="1"/>
  <c r="F129" i="17"/>
  <c r="H129" i="17" s="1"/>
  <c r="I191" i="17"/>
  <c r="E200" i="17"/>
  <c r="G200" i="17" s="1"/>
  <c r="E221" i="17"/>
  <c r="G221" i="17" s="1"/>
  <c r="E233" i="17"/>
  <c r="G233" i="17" s="1"/>
  <c r="I259" i="17"/>
  <c r="I261" i="17"/>
  <c r="I291" i="17"/>
  <c r="E357" i="17"/>
  <c r="G357" i="17" s="1"/>
  <c r="I357" i="17" s="1"/>
  <c r="I367" i="17"/>
  <c r="I50" i="17"/>
  <c r="I53" i="17"/>
  <c r="I55" i="17"/>
  <c r="I163" i="17"/>
  <c r="H58" i="17"/>
  <c r="H81" i="17"/>
  <c r="F104" i="17"/>
  <c r="H104" i="17" s="1"/>
  <c r="E138" i="17"/>
  <c r="G138" i="17" s="1"/>
  <c r="E158" i="17"/>
  <c r="G158" i="17" s="1"/>
  <c r="E167" i="17"/>
  <c r="G167" i="17" s="1"/>
  <c r="I167" i="17" s="1"/>
  <c r="H176" i="17"/>
  <c r="G179" i="17"/>
  <c r="F183" i="17"/>
  <c r="H183" i="17" s="1"/>
  <c r="G11" i="17"/>
  <c r="I11" i="17" s="1"/>
  <c r="H12" i="17"/>
  <c r="I12" i="17" s="1"/>
  <c r="H22" i="17"/>
  <c r="H37" i="17"/>
  <c r="G39" i="17"/>
  <c r="G40" i="17"/>
  <c r="G47" i="17"/>
  <c r="I47" i="17" s="1"/>
  <c r="G57" i="17"/>
  <c r="I65" i="17"/>
  <c r="I83" i="17"/>
  <c r="F93" i="17"/>
  <c r="H93" i="17" s="1"/>
  <c r="F97" i="17"/>
  <c r="H97" i="17" s="1"/>
  <c r="F141" i="17"/>
  <c r="H141" i="17" s="1"/>
  <c r="G154" i="17"/>
  <c r="F178" i="17"/>
  <c r="H178" i="17" s="1"/>
  <c r="H179" i="17"/>
  <c r="F184" i="17"/>
  <c r="H184" i="17" s="1"/>
  <c r="I293" i="17"/>
  <c r="G189" i="17"/>
  <c r="I258" i="17"/>
  <c r="I277" i="17"/>
  <c r="I375" i="17"/>
  <c r="I98" i="17"/>
  <c r="E19" i="17"/>
  <c r="G19" i="17" s="1"/>
  <c r="H10" i="17"/>
  <c r="E23" i="17"/>
  <c r="G23" i="17" s="1"/>
  <c r="F27" i="17"/>
  <c r="H27" i="17" s="1"/>
  <c r="F32" i="17"/>
  <c r="H32" i="17" s="1"/>
  <c r="F38" i="17"/>
  <c r="H38" i="17" s="1"/>
  <c r="H39" i="17"/>
  <c r="I39" i="17" s="1"/>
  <c r="E43" i="17"/>
  <c r="G43" i="17" s="1"/>
  <c r="I49" i="17"/>
  <c r="I56" i="17"/>
  <c r="F69" i="17"/>
  <c r="H69" i="17" s="1"/>
  <c r="I79" i="17"/>
  <c r="F90" i="17"/>
  <c r="H90" i="17" s="1"/>
  <c r="I90" i="17" s="1"/>
  <c r="E112" i="17"/>
  <c r="G112" i="17" s="1"/>
  <c r="E135" i="17"/>
  <c r="G135" i="17" s="1"/>
  <c r="E156" i="17"/>
  <c r="G156" i="17" s="1"/>
  <c r="E165" i="17"/>
  <c r="G165" i="17" s="1"/>
  <c r="I279" i="17"/>
  <c r="F181" i="17"/>
  <c r="H181" i="17" s="1"/>
  <c r="F186" i="17"/>
  <c r="H186" i="17" s="1"/>
  <c r="G187" i="17"/>
  <c r="I187" i="17" s="1"/>
  <c r="I188" i="17"/>
  <c r="E231" i="17"/>
  <c r="G231" i="17" s="1"/>
  <c r="I278" i="17"/>
  <c r="I287" i="17"/>
  <c r="A11" i="17"/>
  <c r="F371" i="17"/>
  <c r="H371" i="17" s="1"/>
  <c r="F342" i="17"/>
  <c r="H342" i="17" s="1"/>
  <c r="F319" i="17"/>
  <c r="H319" i="17" s="1"/>
  <c r="F329" i="17"/>
  <c r="H329" i="17" s="1"/>
  <c r="F349" i="17"/>
  <c r="H349" i="17" s="1"/>
  <c r="F224" i="17"/>
  <c r="H224" i="17" s="1"/>
  <c r="F309" i="17"/>
  <c r="H309" i="17" s="1"/>
  <c r="F237" i="17"/>
  <c r="H237" i="17" s="1"/>
  <c r="F204" i="17"/>
  <c r="H204" i="17" s="1"/>
  <c r="F142" i="17"/>
  <c r="H142" i="17" s="1"/>
  <c r="I142" i="17" s="1"/>
  <c r="F149" i="17"/>
  <c r="H149" i="17" s="1"/>
  <c r="F244" i="17"/>
  <c r="H244" i="17" s="1"/>
  <c r="F214" i="17"/>
  <c r="H214" i="17" s="1"/>
  <c r="F100" i="17"/>
  <c r="H100" i="17" s="1"/>
  <c r="F43" i="17"/>
  <c r="H43" i="17" s="1"/>
  <c r="E27" i="17"/>
  <c r="G27" i="17" s="1"/>
  <c r="I30" i="17"/>
  <c r="F33" i="17"/>
  <c r="H33" i="17" s="1"/>
  <c r="I33" i="17" s="1"/>
  <c r="I128" i="17"/>
  <c r="E38" i="17"/>
  <c r="G38" i="17" s="1"/>
  <c r="I38" i="17" s="1"/>
  <c r="H48" i="17"/>
  <c r="I51" i="17"/>
  <c r="E262" i="17"/>
  <c r="G262" i="17" s="1"/>
  <c r="G58" i="17"/>
  <c r="H60" i="17"/>
  <c r="I63" i="17"/>
  <c r="F272" i="17"/>
  <c r="H272" i="17" s="1"/>
  <c r="F175" i="17"/>
  <c r="H175" i="17" s="1"/>
  <c r="H71" i="17"/>
  <c r="I71" i="17" s="1"/>
  <c r="E379" i="17"/>
  <c r="G379" i="17" s="1"/>
  <c r="E274" i="17"/>
  <c r="G274" i="17" s="1"/>
  <c r="E282" i="17"/>
  <c r="G282" i="17" s="1"/>
  <c r="E182" i="17"/>
  <c r="G182" i="17" s="1"/>
  <c r="F285" i="17"/>
  <c r="H285" i="17" s="1"/>
  <c r="H80" i="17"/>
  <c r="F92" i="17"/>
  <c r="H92" i="17" s="1"/>
  <c r="I92" i="17" s="1"/>
  <c r="F336" i="17"/>
  <c r="H336" i="17" s="1"/>
  <c r="I336" i="17" s="1"/>
  <c r="F303" i="17"/>
  <c r="H303" i="17" s="1"/>
  <c r="F198" i="17"/>
  <c r="H198" i="17" s="1"/>
  <c r="E95" i="17"/>
  <c r="G95" i="17" s="1"/>
  <c r="E97" i="17"/>
  <c r="G97" i="17" s="1"/>
  <c r="I97" i="17" s="1"/>
  <c r="E111" i="17"/>
  <c r="G111" i="17" s="1"/>
  <c r="E130" i="17"/>
  <c r="G130" i="17" s="1"/>
  <c r="I132" i="17"/>
  <c r="E134" i="17"/>
  <c r="G134" i="17" s="1"/>
  <c r="F146" i="17"/>
  <c r="H146" i="17" s="1"/>
  <c r="I146" i="17" s="1"/>
  <c r="F185" i="17"/>
  <c r="H185" i="17" s="1"/>
  <c r="E201" i="17"/>
  <c r="G201" i="17" s="1"/>
  <c r="F231" i="17"/>
  <c r="H231" i="17" s="1"/>
  <c r="G18" i="17"/>
  <c r="F19" i="17"/>
  <c r="H19" i="17" s="1"/>
  <c r="I19" i="17" s="1"/>
  <c r="G22" i="17"/>
  <c r="F23" i="17"/>
  <c r="H23" i="17" s="1"/>
  <c r="G37" i="17"/>
  <c r="I37" i="17" s="1"/>
  <c r="G41" i="17"/>
  <c r="I41" i="17" s="1"/>
  <c r="F42" i="17"/>
  <c r="H42" i="17" s="1"/>
  <c r="I42" i="17" s="1"/>
  <c r="I262" i="17"/>
  <c r="E275" i="17"/>
  <c r="G275" i="17" s="1"/>
  <c r="E177" i="17"/>
  <c r="G177" i="17" s="1"/>
  <c r="F282" i="17"/>
  <c r="H282" i="17" s="1"/>
  <c r="I282" i="17" s="1"/>
  <c r="F182" i="17"/>
  <c r="H182" i="17" s="1"/>
  <c r="H77" i="17"/>
  <c r="E283" i="17"/>
  <c r="G283" i="17" s="1"/>
  <c r="E183" i="17"/>
  <c r="G183" i="17" s="1"/>
  <c r="I183" i="17" s="1"/>
  <c r="G81" i="17"/>
  <c r="I81" i="17" s="1"/>
  <c r="E295" i="17"/>
  <c r="G295" i="17" s="1"/>
  <c r="G84" i="17"/>
  <c r="F338" i="17"/>
  <c r="H338" i="17" s="1"/>
  <c r="F305" i="17"/>
  <c r="H305" i="17" s="1"/>
  <c r="F326" i="17"/>
  <c r="H326" i="17" s="1"/>
  <c r="F316" i="17"/>
  <c r="H316" i="17" s="1"/>
  <c r="F211" i="17"/>
  <c r="H211" i="17" s="1"/>
  <c r="F233" i="17"/>
  <c r="H233" i="17" s="1"/>
  <c r="F221" i="17"/>
  <c r="H221" i="17" s="1"/>
  <c r="F138" i="17"/>
  <c r="H138" i="17" s="1"/>
  <c r="F109" i="17"/>
  <c r="H109" i="17" s="1"/>
  <c r="I109" i="17" s="1"/>
  <c r="F121" i="17"/>
  <c r="H121" i="17" s="1"/>
  <c r="F200" i="17"/>
  <c r="H200" i="17" s="1"/>
  <c r="I200" i="17" s="1"/>
  <c r="E99" i="17"/>
  <c r="G99" i="17" s="1"/>
  <c r="E129" i="17"/>
  <c r="G129" i="17" s="1"/>
  <c r="I129" i="17" s="1"/>
  <c r="I156" i="17"/>
  <c r="E186" i="17"/>
  <c r="G186" i="17" s="1"/>
  <c r="F294" i="17"/>
  <c r="H294" i="17" s="1"/>
  <c r="I294" i="17" s="1"/>
  <c r="H189" i="17"/>
  <c r="G10" i="17"/>
  <c r="F340" i="17"/>
  <c r="H340" i="17" s="1"/>
  <c r="I340" i="17" s="1"/>
  <c r="F334" i="17"/>
  <c r="H334" i="17" s="1"/>
  <c r="I334" i="17" s="1"/>
  <c r="F317" i="17"/>
  <c r="H317" i="17" s="1"/>
  <c r="I317" i="17" s="1"/>
  <c r="F313" i="17"/>
  <c r="H313" i="17" s="1"/>
  <c r="I313" i="17" s="1"/>
  <c r="F366" i="17"/>
  <c r="H366" i="17" s="1"/>
  <c r="I366" i="17" s="1"/>
  <c r="F346" i="17"/>
  <c r="H346" i="17" s="1"/>
  <c r="I346" i="17" s="1"/>
  <c r="F323" i="17"/>
  <c r="H323" i="17" s="1"/>
  <c r="I323" i="17" s="1"/>
  <c r="F307" i="17"/>
  <c r="H307" i="17" s="1"/>
  <c r="I307" i="17" s="1"/>
  <c r="F327" i="17"/>
  <c r="H327" i="17" s="1"/>
  <c r="I327" i="17" s="1"/>
  <c r="F370" i="17"/>
  <c r="H370" i="17" s="1"/>
  <c r="I370" i="17" s="1"/>
  <c r="F348" i="17"/>
  <c r="H348" i="17" s="1"/>
  <c r="I348" i="17" s="1"/>
  <c r="F243" i="17"/>
  <c r="H243" i="17" s="1"/>
  <c r="I243" i="17" s="1"/>
  <c r="F241" i="17"/>
  <c r="H241" i="17" s="1"/>
  <c r="I241" i="17" s="1"/>
  <c r="F222" i="17"/>
  <c r="H222" i="17" s="1"/>
  <c r="I222" i="17" s="1"/>
  <c r="F218" i="17"/>
  <c r="H218" i="17" s="1"/>
  <c r="I218" i="17" s="1"/>
  <c r="F229" i="17"/>
  <c r="H229" i="17" s="1"/>
  <c r="I229" i="17" s="1"/>
  <c r="F212" i="17"/>
  <c r="H212" i="17" s="1"/>
  <c r="I212" i="17" s="1"/>
  <c r="F235" i="17"/>
  <c r="H235" i="17" s="1"/>
  <c r="I235" i="17" s="1"/>
  <c r="F301" i="17"/>
  <c r="H301" i="17" s="1"/>
  <c r="I301" i="17" s="1"/>
  <c r="F271" i="17"/>
  <c r="H271" i="17" s="1"/>
  <c r="I271" i="17" s="1"/>
  <c r="F208" i="17"/>
  <c r="H208" i="17" s="1"/>
  <c r="I208" i="17" s="1"/>
  <c r="F196" i="17"/>
  <c r="H196" i="17" s="1"/>
  <c r="I196" i="17" s="1"/>
  <c r="F140" i="17"/>
  <c r="H140" i="17" s="1"/>
  <c r="I140" i="17" s="1"/>
  <c r="F202" i="17"/>
  <c r="H202" i="17" s="1"/>
  <c r="I202" i="17" s="1"/>
  <c r="F174" i="17"/>
  <c r="H174" i="17" s="1"/>
  <c r="I174" i="17" s="1"/>
  <c r="F148" i="17"/>
  <c r="H148" i="17" s="1"/>
  <c r="I148" i="17" s="1"/>
  <c r="F118" i="17"/>
  <c r="H118" i="17" s="1"/>
  <c r="I118" i="17" s="1"/>
  <c r="F106" i="17"/>
  <c r="H106" i="17" s="1"/>
  <c r="I106" i="17" s="1"/>
  <c r="F70" i="17"/>
  <c r="H70" i="17" s="1"/>
  <c r="I70" i="17" s="1"/>
  <c r="H13" i="17"/>
  <c r="E17" i="17"/>
  <c r="G17" i="17" s="1"/>
  <c r="I17" i="17" s="1"/>
  <c r="F29" i="17"/>
  <c r="H29" i="17" s="1"/>
  <c r="I29" i="17" s="1"/>
  <c r="E325" i="17"/>
  <c r="G325" i="17" s="1"/>
  <c r="E304" i="17"/>
  <c r="G304" i="17" s="1"/>
  <c r="E337" i="17"/>
  <c r="G337" i="17" s="1"/>
  <c r="E232" i="17"/>
  <c r="G232" i="17" s="1"/>
  <c r="E315" i="17"/>
  <c r="G315" i="17" s="1"/>
  <c r="E210" i="17"/>
  <c r="G210" i="17" s="1"/>
  <c r="E199" i="17"/>
  <c r="G199" i="17" s="1"/>
  <c r="E120" i="17"/>
  <c r="G120" i="17" s="1"/>
  <c r="E108" i="17"/>
  <c r="G108" i="17" s="1"/>
  <c r="F353" i="17"/>
  <c r="H353" i="17" s="1"/>
  <c r="F153" i="17"/>
  <c r="H153" i="17" s="1"/>
  <c r="I153" i="17" s="1"/>
  <c r="F248" i="17"/>
  <c r="H248" i="17" s="1"/>
  <c r="E253" i="17"/>
  <c r="G253" i="17" s="1"/>
  <c r="E251" i="17"/>
  <c r="G251" i="17" s="1"/>
  <c r="E358" i="17"/>
  <c r="G358" i="17" s="1"/>
  <c r="E155" i="17"/>
  <c r="G155" i="17" s="1"/>
  <c r="G48" i="17"/>
  <c r="F254" i="17"/>
  <c r="H254" i="17" s="1"/>
  <c r="I254" i="17" s="1"/>
  <c r="F158" i="17"/>
  <c r="H158" i="17" s="1"/>
  <c r="I158" i="17" s="1"/>
  <c r="E356" i="17"/>
  <c r="G356" i="17" s="1"/>
  <c r="E255" i="17"/>
  <c r="G255" i="17" s="1"/>
  <c r="E159" i="17"/>
  <c r="G159" i="17" s="1"/>
  <c r="G52" i="17"/>
  <c r="I52" i="17" s="1"/>
  <c r="H57" i="17"/>
  <c r="I57" i="17" s="1"/>
  <c r="F263" i="17"/>
  <c r="H263" i="17" s="1"/>
  <c r="I263" i="17" s="1"/>
  <c r="F165" i="17"/>
  <c r="H165" i="17" s="1"/>
  <c r="I165" i="17" s="1"/>
  <c r="E264" i="17"/>
  <c r="G264" i="17" s="1"/>
  <c r="E359" i="17"/>
  <c r="G359" i="17" s="1"/>
  <c r="E166" i="17"/>
  <c r="G166" i="17" s="1"/>
  <c r="I166" i="17" s="1"/>
  <c r="G60" i="17"/>
  <c r="H61" i="17"/>
  <c r="I61" i="17" s="1"/>
  <c r="F360" i="17"/>
  <c r="H360" i="17" s="1"/>
  <c r="F168" i="17"/>
  <c r="H168" i="17" s="1"/>
  <c r="I168" i="17" s="1"/>
  <c r="E361" i="17"/>
  <c r="G361" i="17" s="1"/>
  <c r="E266" i="17"/>
  <c r="G266" i="17" s="1"/>
  <c r="E169" i="17"/>
  <c r="G169" i="17" s="1"/>
  <c r="G64" i="17"/>
  <c r="I64" i="17" s="1"/>
  <c r="E69" i="17"/>
  <c r="G69" i="17" s="1"/>
  <c r="G72" i="17"/>
  <c r="I72" i="17" s="1"/>
  <c r="F275" i="17"/>
  <c r="H275" i="17" s="1"/>
  <c r="I275" i="17" s="1"/>
  <c r="F177" i="17"/>
  <c r="H177" i="17" s="1"/>
  <c r="H73" i="17"/>
  <c r="I73" i="17" s="1"/>
  <c r="E74" i="17"/>
  <c r="G74" i="17" s="1"/>
  <c r="E280" i="17"/>
  <c r="G280" i="17" s="1"/>
  <c r="E180" i="17"/>
  <c r="G180" i="17" s="1"/>
  <c r="G77" i="17"/>
  <c r="E284" i="17"/>
  <c r="G284" i="17" s="1"/>
  <c r="I284" i="17" s="1"/>
  <c r="E184" i="17"/>
  <c r="G184" i="17" s="1"/>
  <c r="I184" i="17" s="1"/>
  <c r="F295" i="17"/>
  <c r="H295" i="17" s="1"/>
  <c r="I295" i="17" s="1"/>
  <c r="H84" i="17"/>
  <c r="I84" i="17" s="1"/>
  <c r="F190" i="17"/>
  <c r="H190" i="17" s="1"/>
  <c r="I190" i="17" s="1"/>
  <c r="H94" i="17"/>
  <c r="I94" i="17" s="1"/>
  <c r="E104" i="17"/>
  <c r="G104" i="17" s="1"/>
  <c r="F110" i="17"/>
  <c r="H110" i="17" s="1"/>
  <c r="I110" i="17" s="1"/>
  <c r="F122" i="17"/>
  <c r="H122" i="17" s="1"/>
  <c r="I122" i="17" s="1"/>
  <c r="E131" i="17"/>
  <c r="G131" i="17" s="1"/>
  <c r="F133" i="17"/>
  <c r="H133" i="17" s="1"/>
  <c r="I133" i="17" s="1"/>
  <c r="E368" i="17"/>
  <c r="G368" i="17" s="1"/>
  <c r="E347" i="17"/>
  <c r="G347" i="17" s="1"/>
  <c r="E242" i="17"/>
  <c r="G242" i="17" s="1"/>
  <c r="G147" i="17"/>
  <c r="I147" i="17" s="1"/>
  <c r="E157" i="17"/>
  <c r="G157" i="17" s="1"/>
  <c r="F265" i="17"/>
  <c r="H265" i="17" s="1"/>
  <c r="E117" i="17"/>
  <c r="G117" i="17" s="1"/>
  <c r="I117" i="17" s="1"/>
  <c r="E28" i="17"/>
  <c r="G28" i="17" s="1"/>
  <c r="F21" i="17"/>
  <c r="H21" i="17" s="1"/>
  <c r="I21" i="17" s="1"/>
  <c r="E380" i="17"/>
  <c r="G380" i="17" s="1"/>
  <c r="E308" i="17"/>
  <c r="G308" i="17" s="1"/>
  <c r="E302" i="17"/>
  <c r="G302" i="17" s="1"/>
  <c r="E324" i="17"/>
  <c r="G324" i="17" s="1"/>
  <c r="E314" i="17"/>
  <c r="G314" i="17" s="1"/>
  <c r="E335" i="17"/>
  <c r="G335" i="17" s="1"/>
  <c r="E328" i="17"/>
  <c r="G328" i="17" s="1"/>
  <c r="E341" i="17"/>
  <c r="G341" i="17" s="1"/>
  <c r="E318" i="17"/>
  <c r="G318" i="17" s="1"/>
  <c r="E236" i="17"/>
  <c r="G236" i="17" s="1"/>
  <c r="E230" i="17"/>
  <c r="G230" i="17" s="1"/>
  <c r="E213" i="17"/>
  <c r="G213" i="17" s="1"/>
  <c r="E209" i="17"/>
  <c r="G209" i="17" s="1"/>
  <c r="E276" i="17"/>
  <c r="G276" i="17" s="1"/>
  <c r="E219" i="17"/>
  <c r="G219" i="17" s="1"/>
  <c r="E223" i="17"/>
  <c r="G223" i="17" s="1"/>
  <c r="E197" i="17"/>
  <c r="G197" i="17" s="1"/>
  <c r="E123" i="17"/>
  <c r="G123" i="17" s="1"/>
  <c r="I123" i="17" s="1"/>
  <c r="E119" i="17"/>
  <c r="G119" i="17" s="1"/>
  <c r="E178" i="17"/>
  <c r="G178" i="17" s="1"/>
  <c r="E141" i="17"/>
  <c r="G141" i="17" s="1"/>
  <c r="I141" i="17" s="1"/>
  <c r="E107" i="17"/>
  <c r="G107" i="17" s="1"/>
  <c r="E32" i="17"/>
  <c r="G32" i="17" s="1"/>
  <c r="I32" i="17" s="1"/>
  <c r="F31" i="17"/>
  <c r="H31" i="17" s="1"/>
  <c r="I31" i="17" s="1"/>
  <c r="F315" i="17"/>
  <c r="H315" i="17" s="1"/>
  <c r="I315" i="17" s="1"/>
  <c r="F304" i="17"/>
  <c r="H304" i="17" s="1"/>
  <c r="I304" i="17" s="1"/>
  <c r="F220" i="17"/>
  <c r="H220" i="17" s="1"/>
  <c r="F199" i="17"/>
  <c r="H199" i="17" s="1"/>
  <c r="F210" i="17"/>
  <c r="H210" i="17" s="1"/>
  <c r="I210" i="17" s="1"/>
  <c r="F337" i="17"/>
  <c r="H337" i="17" s="1"/>
  <c r="F325" i="17"/>
  <c r="H325" i="17" s="1"/>
  <c r="F120" i="17"/>
  <c r="H120" i="17" s="1"/>
  <c r="F108" i="17"/>
  <c r="H108" i="17" s="1"/>
  <c r="I108" i="17" s="1"/>
  <c r="F232" i="17"/>
  <c r="H232" i="17" s="1"/>
  <c r="F137" i="17"/>
  <c r="H137" i="17" s="1"/>
  <c r="I137" i="17" s="1"/>
  <c r="F95" i="17"/>
  <c r="H95" i="17" s="1"/>
  <c r="H40" i="17"/>
  <c r="E369" i="17"/>
  <c r="G369" i="17" s="1"/>
  <c r="E365" i="17"/>
  <c r="G365" i="17" s="1"/>
  <c r="E306" i="17"/>
  <c r="G306" i="17" s="1"/>
  <c r="E300" i="17"/>
  <c r="G300" i="17" s="1"/>
  <c r="E333" i="17"/>
  <c r="G333" i="17" s="1"/>
  <c r="E234" i="17"/>
  <c r="G234" i="17" s="1"/>
  <c r="E228" i="17"/>
  <c r="G228" i="17" s="1"/>
  <c r="E339" i="17"/>
  <c r="G339" i="17" s="1"/>
  <c r="E173" i="17"/>
  <c r="G173" i="17" s="1"/>
  <c r="E270" i="17"/>
  <c r="G270" i="17" s="1"/>
  <c r="E139" i="17"/>
  <c r="G139" i="17" s="1"/>
  <c r="I139" i="17" s="1"/>
  <c r="F358" i="17"/>
  <c r="H358" i="17" s="1"/>
  <c r="F253" i="17"/>
  <c r="H253" i="17" s="1"/>
  <c r="I253" i="17" s="1"/>
  <c r="F251" i="17"/>
  <c r="H251" i="17" s="1"/>
  <c r="I251" i="17" s="1"/>
  <c r="F157" i="17"/>
  <c r="H157" i="17" s="1"/>
  <c r="I157" i="17" s="1"/>
  <c r="F155" i="17"/>
  <c r="H155" i="17" s="1"/>
  <c r="I155" i="17" s="1"/>
  <c r="F356" i="17"/>
  <c r="H356" i="17" s="1"/>
  <c r="F159" i="17"/>
  <c r="H159" i="17" s="1"/>
  <c r="I159" i="17" s="1"/>
  <c r="F255" i="17"/>
  <c r="H255" i="17" s="1"/>
  <c r="I255" i="17" s="1"/>
  <c r="F359" i="17"/>
  <c r="H359" i="17" s="1"/>
  <c r="I359" i="17" s="1"/>
  <c r="F264" i="17"/>
  <c r="H264" i="17" s="1"/>
  <c r="F361" i="17"/>
  <c r="H361" i="17" s="1"/>
  <c r="F266" i="17"/>
  <c r="H266" i="17" s="1"/>
  <c r="F169" i="17"/>
  <c r="H169" i="17" s="1"/>
  <c r="I169" i="17" s="1"/>
  <c r="E272" i="17"/>
  <c r="G272" i="17" s="1"/>
  <c r="E175" i="17"/>
  <c r="G175" i="17" s="1"/>
  <c r="F280" i="17"/>
  <c r="H280" i="17" s="1"/>
  <c r="F180" i="17"/>
  <c r="H180" i="17" s="1"/>
  <c r="I180" i="17" s="1"/>
  <c r="H75" i="17"/>
  <c r="I75" i="17" s="1"/>
  <c r="E281" i="17"/>
  <c r="G281" i="17" s="1"/>
  <c r="I281" i="17" s="1"/>
  <c r="E181" i="17"/>
  <c r="G181" i="17" s="1"/>
  <c r="E285" i="17"/>
  <c r="G285" i="17" s="1"/>
  <c r="E185" i="17"/>
  <c r="G185" i="17" s="1"/>
  <c r="G80" i="17"/>
  <c r="E91" i="17"/>
  <c r="G91" i="17" s="1"/>
  <c r="E93" i="17"/>
  <c r="G93" i="17" s="1"/>
  <c r="F112" i="17"/>
  <c r="H112" i="17" s="1"/>
  <c r="I112" i="17" s="1"/>
  <c r="E116" i="17"/>
  <c r="G116" i="17" s="1"/>
  <c r="I116" i="17" s="1"/>
  <c r="F124" i="17"/>
  <c r="H124" i="17" s="1"/>
  <c r="F135" i="17"/>
  <c r="H135" i="17" s="1"/>
  <c r="E220" i="17"/>
  <c r="G220" i="17" s="1"/>
  <c r="E371" i="17"/>
  <c r="G371" i="17" s="1"/>
  <c r="E329" i="17"/>
  <c r="G329" i="17" s="1"/>
  <c r="E309" i="17"/>
  <c r="G309" i="17" s="1"/>
  <c r="E342" i="17"/>
  <c r="G342" i="17" s="1"/>
  <c r="E319" i="17"/>
  <c r="G319" i="17" s="1"/>
  <c r="E349" i="17"/>
  <c r="G349" i="17" s="1"/>
  <c r="E244" i="17"/>
  <c r="G244" i="17" s="1"/>
  <c r="E214" i="17"/>
  <c r="G214" i="17" s="1"/>
  <c r="E237" i="17"/>
  <c r="G237" i="17" s="1"/>
  <c r="E224" i="17"/>
  <c r="G224" i="17" s="1"/>
  <c r="E100" i="17"/>
  <c r="G100" i="17" s="1"/>
  <c r="F130" i="17"/>
  <c r="H130" i="17" s="1"/>
  <c r="I130" i="17" s="1"/>
  <c r="F105" i="17"/>
  <c r="H105" i="17" s="1"/>
  <c r="I105" i="17" s="1"/>
  <c r="F380" i="17"/>
  <c r="H380" i="17" s="1"/>
  <c r="I380" i="17" s="1"/>
  <c r="F335" i="17"/>
  <c r="H335" i="17" s="1"/>
  <c r="I335" i="17" s="1"/>
  <c r="F328" i="17"/>
  <c r="H328" i="17" s="1"/>
  <c r="F308" i="17"/>
  <c r="H308" i="17" s="1"/>
  <c r="I308" i="17" s="1"/>
  <c r="F341" i="17"/>
  <c r="H341" i="17" s="1"/>
  <c r="F318" i="17"/>
  <c r="H318" i="17" s="1"/>
  <c r="F276" i="17"/>
  <c r="H276" i="17" s="1"/>
  <c r="I276" i="17" s="1"/>
  <c r="F203" i="17"/>
  <c r="H203" i="17" s="1"/>
  <c r="I203" i="17" s="1"/>
  <c r="F197" i="17"/>
  <c r="H197" i="17" s="1"/>
  <c r="I197" i="17" s="1"/>
  <c r="F324" i="17"/>
  <c r="H324" i="17" s="1"/>
  <c r="F230" i="17"/>
  <c r="H230" i="17" s="1"/>
  <c r="F213" i="17"/>
  <c r="H213" i="17" s="1"/>
  <c r="I213" i="17" s="1"/>
  <c r="F302" i="17"/>
  <c r="H302" i="17" s="1"/>
  <c r="F236" i="17"/>
  <c r="H236" i="17" s="1"/>
  <c r="I236" i="17" s="1"/>
  <c r="F223" i="17"/>
  <c r="H223" i="17" s="1"/>
  <c r="F314" i="17"/>
  <c r="H314" i="17" s="1"/>
  <c r="F209" i="17"/>
  <c r="H209" i="17" s="1"/>
  <c r="I209" i="17" s="1"/>
  <c r="F134" i="17"/>
  <c r="H134" i="17" s="1"/>
  <c r="F111" i="17"/>
  <c r="H111" i="17" s="1"/>
  <c r="I111" i="17" s="1"/>
  <c r="F107" i="17"/>
  <c r="H107" i="17" s="1"/>
  <c r="I107" i="17" s="1"/>
  <c r="F369" i="17"/>
  <c r="H369" i="17" s="1"/>
  <c r="I369" i="17" s="1"/>
  <c r="F365" i="17"/>
  <c r="H365" i="17" s="1"/>
  <c r="F300" i="17"/>
  <c r="H300" i="17" s="1"/>
  <c r="F333" i="17"/>
  <c r="H333" i="17" s="1"/>
  <c r="I333" i="17" s="1"/>
  <c r="F306" i="17"/>
  <c r="H306" i="17" s="1"/>
  <c r="F339" i="17"/>
  <c r="H339" i="17" s="1"/>
  <c r="F270" i="17"/>
  <c r="H270" i="17" s="1"/>
  <c r="F201" i="17"/>
  <c r="H201" i="17" s="1"/>
  <c r="F195" i="17"/>
  <c r="H195" i="17" s="1"/>
  <c r="I195" i="17" s="1"/>
  <c r="F228" i="17"/>
  <c r="H228" i="17" s="1"/>
  <c r="F234" i="17"/>
  <c r="H234" i="17" s="1"/>
  <c r="E353" i="17"/>
  <c r="G353" i="17" s="1"/>
  <c r="E248" i="17"/>
  <c r="G248" i="17" s="1"/>
  <c r="E360" i="17"/>
  <c r="G360" i="17" s="1"/>
  <c r="E265" i="17"/>
  <c r="G265" i="17" s="1"/>
  <c r="F379" i="17"/>
  <c r="H379" i="17" s="1"/>
  <c r="F274" i="17"/>
  <c r="H274" i="17" s="1"/>
  <c r="I274" i="17" s="1"/>
  <c r="F74" i="17"/>
  <c r="H74" i="17" s="1"/>
  <c r="I283" i="17"/>
  <c r="I292" i="17"/>
  <c r="F91" i="17"/>
  <c r="H91" i="17" s="1"/>
  <c r="F99" i="17"/>
  <c r="H99" i="17" s="1"/>
  <c r="I99" i="17" s="1"/>
  <c r="F119" i="17"/>
  <c r="H119" i="17" s="1"/>
  <c r="F131" i="17"/>
  <c r="H131" i="17" s="1"/>
  <c r="I131" i="17" s="1"/>
  <c r="F368" i="17"/>
  <c r="H368" i="17" s="1"/>
  <c r="F347" i="17"/>
  <c r="H347" i="17" s="1"/>
  <c r="F242" i="17"/>
  <c r="H242" i="17" s="1"/>
  <c r="I242" i="17" s="1"/>
  <c r="F173" i="17"/>
  <c r="H173" i="17" s="1"/>
  <c r="I173" i="17" s="1"/>
  <c r="E204" i="17"/>
  <c r="G204" i="17" s="1"/>
  <c r="I256" i="17"/>
  <c r="E149" i="17"/>
  <c r="G149" i="17" s="1"/>
  <c r="E273" i="17"/>
  <c r="G273" i="17" s="1"/>
  <c r="I273" i="17" s="1"/>
  <c r="G176" i="17"/>
  <c r="F252" i="17"/>
  <c r="H252" i="17" s="1"/>
  <c r="I252" i="17" s="1"/>
  <c r="H154" i="17"/>
  <c r="F219" i="17"/>
  <c r="H219" i="17" s="1"/>
  <c r="E305" i="17"/>
  <c r="G305" i="17" s="1"/>
  <c r="E211" i="17"/>
  <c r="G211" i="17" s="1"/>
  <c r="E121" i="17"/>
  <c r="G121" i="17" s="1"/>
  <c r="E198" i="17"/>
  <c r="G198" i="17" s="1"/>
  <c r="I289" i="17"/>
  <c r="E326" i="17"/>
  <c r="G326" i="17" s="1"/>
  <c r="E338" i="17"/>
  <c r="G338" i="17" s="1"/>
  <c r="I249" i="17"/>
  <c r="H250" i="17"/>
  <c r="I250" i="17" s="1"/>
  <c r="E303" i="17"/>
  <c r="G303" i="17" s="1"/>
  <c r="E316" i="17"/>
  <c r="G316" i="17" s="1"/>
  <c r="I381" i="17"/>
  <c r="I314" i="17" l="1"/>
  <c r="I189" i="17"/>
  <c r="I20" i="17"/>
  <c r="I347" i="17"/>
  <c r="I318" i="17"/>
  <c r="I43" i="17"/>
  <c r="I223" i="17"/>
  <c r="I28" i="17"/>
  <c r="I18" i="17"/>
  <c r="I176" i="17"/>
  <c r="I91" i="17"/>
  <c r="I306" i="17"/>
  <c r="I341" i="17"/>
  <c r="I233" i="17"/>
  <c r="I104" i="17"/>
  <c r="I135" i="17"/>
  <c r="I69" i="17"/>
  <c r="I13" i="17"/>
  <c r="I58" i="17"/>
  <c r="I154" i="17"/>
  <c r="I201" i="17"/>
  <c r="I124" i="17"/>
  <c r="I40" i="17"/>
  <c r="I221" i="17"/>
  <c r="I234" i="17"/>
  <c r="I270" i="17"/>
  <c r="I181" i="17"/>
  <c r="I95" i="17"/>
  <c r="I23" i="17"/>
  <c r="I231" i="17"/>
  <c r="I178" i="17"/>
  <c r="I365" i="17"/>
  <c r="I93" i="17"/>
  <c r="I337" i="17"/>
  <c r="I22" i="17"/>
  <c r="I219" i="17"/>
  <c r="I358" i="17"/>
  <c r="I186" i="17"/>
  <c r="I138" i="17"/>
  <c r="I119" i="17"/>
  <c r="I379" i="17"/>
  <c r="I266" i="17"/>
  <c r="I199" i="17"/>
  <c r="I27" i="17"/>
  <c r="I179" i="17"/>
  <c r="I368" i="17"/>
  <c r="I74" i="17"/>
  <c r="I228" i="17"/>
  <c r="I339" i="17"/>
  <c r="I134" i="17"/>
  <c r="I324" i="17"/>
  <c r="I356" i="17"/>
  <c r="I325" i="17"/>
  <c r="I220" i="17"/>
  <c r="H388" i="17"/>
  <c r="I389" i="17" s="1"/>
  <c r="I360" i="17"/>
  <c r="I302" i="17"/>
  <c r="I361" i="17"/>
  <c r="I232" i="17"/>
  <c r="I265" i="17"/>
  <c r="I248" i="17"/>
  <c r="G388" i="17"/>
  <c r="I300" i="17"/>
  <c r="I230" i="17"/>
  <c r="I328" i="17"/>
  <c r="I280" i="17"/>
  <c r="I264" i="17"/>
  <c r="I316" i="17"/>
  <c r="I120" i="17"/>
  <c r="I177" i="17"/>
  <c r="I353" i="17"/>
  <c r="I121" i="17"/>
  <c r="I305" i="17"/>
  <c r="I182" i="17"/>
  <c r="I303" i="17"/>
  <c r="I80" i="17"/>
  <c r="I175" i="17"/>
  <c r="I60" i="17"/>
  <c r="I100" i="17"/>
  <c r="I224" i="17"/>
  <c r="I342" i="17"/>
  <c r="I211" i="17"/>
  <c r="I338" i="17"/>
  <c r="I285" i="17"/>
  <c r="I272" i="17"/>
  <c r="I214" i="17"/>
  <c r="I204" i="17"/>
  <c r="I349" i="17"/>
  <c r="I371" i="17"/>
  <c r="I244" i="17"/>
  <c r="I237" i="17"/>
  <c r="I329" i="17"/>
  <c r="I10" i="17"/>
  <c r="I326" i="17"/>
  <c r="I77" i="17"/>
  <c r="A12" i="17"/>
  <c r="I185" i="17"/>
  <c r="I198" i="17"/>
  <c r="I48" i="17"/>
  <c r="I149" i="17"/>
  <c r="I309" i="17"/>
  <c r="I319" i="17"/>
  <c r="I390" i="17" l="1"/>
  <c r="B5" i="17" s="1"/>
  <c r="K41" i="12" s="1"/>
  <c r="L43" i="12" s="1"/>
  <c r="E11" i="13" s="1"/>
  <c r="A13" i="17"/>
  <c r="A17" i="17" l="1"/>
  <c r="A18" i="17" l="1"/>
  <c r="A19" i="17" l="1"/>
  <c r="A20" i="17" s="1"/>
  <c r="A21" i="17" s="1"/>
  <c r="A22" i="17" l="1"/>
  <c r="A23" i="17" s="1"/>
  <c r="A27" i="17" s="1"/>
  <c r="A28" i="17" s="1"/>
  <c r="A29" i="17" s="1"/>
  <c r="A30" i="17" s="1"/>
  <c r="A31" i="17" s="1"/>
  <c r="A32" i="17" l="1"/>
  <c r="A33" i="17" s="1"/>
  <c r="A37" i="17" s="1"/>
  <c r="A38" i="17" s="1"/>
  <c r="A39" i="17" s="1"/>
  <c r="A40" i="17" s="1"/>
  <c r="A41" i="17" s="1"/>
  <c r="A42" i="17" s="1"/>
  <c r="A43" i="17" s="1"/>
  <c r="A47" i="17" s="1"/>
  <c r="A48" i="17" s="1"/>
  <c r="A49" i="17" s="1"/>
  <c r="A50" i="17" s="1"/>
  <c r="A51" i="17" s="1"/>
  <c r="A52" i="17" s="1"/>
  <c r="A53" i="17" s="1"/>
  <c r="A54" i="17" s="1"/>
  <c r="A55" i="17" s="1"/>
  <c r="A56" i="17" s="1"/>
  <c r="A57" i="17" s="1"/>
  <c r="A58" i="17" s="1"/>
  <c r="A59" i="17" s="1"/>
  <c r="A60" i="17" s="1"/>
  <c r="A61" i="17" s="1"/>
  <c r="A62" i="17" s="1"/>
  <c r="A63" i="17" s="1"/>
  <c r="A64" i="17" s="1"/>
  <c r="A65" i="17" s="1"/>
  <c r="A69" i="17" s="1"/>
  <c r="A70" i="17" s="1"/>
  <c r="A71" i="17" s="1"/>
  <c r="A72" i="17" s="1"/>
  <c r="A73" i="17" s="1"/>
  <c r="A74" i="17" s="1"/>
  <c r="A75" i="17" s="1"/>
  <c r="A76" i="17" s="1"/>
  <c r="A77" i="17" s="1"/>
  <c r="A78" i="17" s="1"/>
  <c r="A79" i="17" s="1"/>
  <c r="A80" i="17" s="1"/>
  <c r="A81" i="17" s="1"/>
  <c r="A82" i="17" s="1"/>
  <c r="A83" i="17" s="1"/>
  <c r="A84" i="17" s="1"/>
  <c r="A85" i="17" s="1"/>
  <c r="A89" i="17" s="1"/>
  <c r="A90" i="17" s="1"/>
  <c r="A91" i="17" s="1"/>
  <c r="A92" i="17" s="1"/>
  <c r="A93" i="17" s="1"/>
  <c r="A94" i="17" s="1"/>
  <c r="A95" i="17" s="1"/>
  <c r="A96" i="17" s="1"/>
  <c r="A97" i="17" s="1"/>
  <c r="A98" i="17" s="1"/>
  <c r="A99" i="17" s="1"/>
  <c r="A100" i="17" s="1"/>
  <c r="A104" i="17" s="1"/>
  <c r="A105" i="17" s="1"/>
  <c r="A106" i="17" s="1"/>
  <c r="A107" i="17" s="1"/>
  <c r="A108" i="17" s="1"/>
  <c r="A109" i="17" s="1"/>
  <c r="A110" i="17" s="1"/>
  <c r="A111" i="17" s="1"/>
  <c r="A112" i="17" s="1"/>
  <c r="A116" i="17" s="1"/>
  <c r="A117" i="17" s="1"/>
  <c r="A118" i="17" s="1"/>
  <c r="A119" i="17" s="1"/>
  <c r="A120" i="17" s="1"/>
  <c r="A121" i="17" s="1"/>
  <c r="A122" i="17" s="1"/>
  <c r="A123" i="17" s="1"/>
  <c r="A124" i="17" s="1"/>
  <c r="A128" i="17" s="1"/>
  <c r="A129" i="17" s="1"/>
  <c r="A130" i="17" s="1"/>
  <c r="A131" i="17" s="1"/>
  <c r="A132" i="17" s="1"/>
  <c r="A133" i="17" s="1"/>
  <c r="A134" i="17" s="1"/>
  <c r="A135" i="17" s="1"/>
  <c r="A136" i="17" s="1"/>
  <c r="A137" i="17" s="1"/>
  <c r="A138" i="17" s="1"/>
  <c r="A139" i="17" s="1"/>
  <c r="A140" i="17" s="1"/>
  <c r="A141" i="17" s="1"/>
  <c r="A142" i="17" s="1"/>
  <c r="A146" i="17" s="1"/>
  <c r="A147" i="17" s="1"/>
  <c r="A148" i="17" s="1"/>
  <c r="A149" i="17" s="1"/>
  <c r="A153" i="17" s="1"/>
  <c r="A154" i="17" s="1"/>
  <c r="A155" i="17" s="1"/>
  <c r="A156" i="17" s="1"/>
  <c r="A157" i="17" s="1"/>
  <c r="A158" i="17" s="1"/>
  <c r="A159" i="17" s="1"/>
  <c r="A160" i="17" s="1"/>
  <c r="A161" i="17" s="1"/>
  <c r="A162" i="17" s="1"/>
  <c r="A163" i="17" s="1"/>
  <c r="A164" i="17" s="1"/>
  <c r="A165" i="17" s="1"/>
  <c r="A166" i="17" s="1"/>
  <c r="A167" i="17" s="1"/>
  <c r="A168" i="17" s="1"/>
  <c r="A169"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5" i="17" s="1"/>
  <c r="A196" i="17" s="1"/>
  <c r="A197" i="17" s="1"/>
  <c r="A198" i="17" s="1"/>
  <c r="A199" i="17" s="1"/>
  <c r="A200" i="17" s="1"/>
  <c r="A201" i="17" s="1"/>
  <c r="A202" i="17" s="1"/>
  <c r="A203" i="17" s="1"/>
  <c r="A204" i="17" s="1"/>
  <c r="A208" i="17" s="1"/>
  <c r="A209" i="17" s="1"/>
  <c r="A210" i="17" s="1"/>
  <c r="A211" i="17" s="1"/>
  <c r="A212" i="17" s="1"/>
  <c r="A213" i="17" s="1"/>
  <c r="A214" i="17" s="1"/>
  <c r="A218" i="17" s="1"/>
  <c r="A219" i="17" s="1"/>
  <c r="A220" i="17" s="1"/>
  <c r="A221" i="17" s="1"/>
  <c r="A222" i="17" s="1"/>
  <c r="A223" i="17" s="1"/>
  <c r="A224" i="17" s="1"/>
  <c r="A228" i="17" s="1"/>
  <c r="A229" i="17" s="1"/>
  <c r="A230" i="17" s="1"/>
  <c r="A231" i="17" s="1"/>
  <c r="A232" i="17" s="1"/>
  <c r="A233" i="17" s="1"/>
  <c r="A234" i="17" s="1"/>
  <c r="A235" i="17" s="1"/>
  <c r="A236" i="17" s="1"/>
  <c r="A237" i="17" s="1"/>
  <c r="A241" i="17" s="1"/>
  <c r="A242" i="17" s="1"/>
  <c r="A243" i="17" s="1"/>
  <c r="A244"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300" i="17" s="1"/>
  <c r="A301" i="17" s="1"/>
  <c r="A302" i="17" s="1"/>
  <c r="A303" i="17" s="1"/>
  <c r="A304" i="17" s="1"/>
  <c r="A305" i="17" s="1"/>
  <c r="A306" i="17" s="1"/>
  <c r="A307" i="17" s="1"/>
  <c r="A308" i="17" s="1"/>
  <c r="A309" i="17" s="1"/>
  <c r="A313" i="17" s="1"/>
  <c r="A314" i="17" s="1"/>
  <c r="A315" i="17" s="1"/>
  <c r="A316" i="17" s="1"/>
  <c r="A317" i="17" s="1"/>
  <c r="A318" i="17" s="1"/>
  <c r="A319" i="17" s="1"/>
  <c r="A323" i="17" s="1"/>
  <c r="A324" i="17" s="1"/>
  <c r="A325" i="17" s="1"/>
  <c r="A326" i="17" s="1"/>
  <c r="A327" i="17" s="1"/>
  <c r="A328" i="17" s="1"/>
  <c r="A329" i="17" s="1"/>
  <c r="A333" i="17" s="1"/>
  <c r="A334" i="17" s="1"/>
  <c r="A335" i="17" s="1"/>
  <c r="A336" i="17" s="1"/>
  <c r="A337" i="17" s="1"/>
  <c r="A338" i="17" s="1"/>
  <c r="A339" i="17" s="1"/>
  <c r="A340" i="17" s="1"/>
  <c r="A341" i="17" s="1"/>
  <c r="A342" i="17" s="1"/>
  <c r="A346" i="17" s="1"/>
  <c r="A347" i="17" s="1"/>
  <c r="A348" i="17" s="1"/>
  <c r="A349" i="17" s="1"/>
  <c r="A353" i="17" s="1"/>
  <c r="A354" i="17" s="1"/>
  <c r="A355" i="17" s="1"/>
  <c r="A356" i="17" s="1"/>
  <c r="A357" i="17" s="1"/>
  <c r="A358" i="17" s="1"/>
  <c r="A359" i="17" s="1"/>
  <c r="A360" i="17" s="1"/>
  <c r="A361" i="17" s="1"/>
  <c r="A365" i="17" s="1"/>
  <c r="A366" i="17" s="1"/>
  <c r="A367" i="17" s="1"/>
  <c r="A368" i="17" s="1"/>
  <c r="A369" i="17" s="1"/>
  <c r="A370" i="17" s="1"/>
  <c r="A371" i="17" s="1"/>
  <c r="A375" i="17" s="1"/>
  <c r="A379" i="17" s="1"/>
  <c r="A380" i="17" s="1"/>
  <c r="A381" i="17" s="1"/>
  <c r="A382" i="17" s="1"/>
  <c r="A384" i="17" s="1"/>
  <c r="H1423" i="12" l="1"/>
  <c r="K1423" i="12" s="1"/>
  <c r="L1425" i="12" s="1"/>
  <c r="E40" i="13" s="1"/>
  <c r="H26" i="12"/>
  <c r="K26" i="12" s="1"/>
  <c r="L28" i="12" s="1"/>
  <c r="E8" i="13" s="1"/>
  <c r="H1514" i="12"/>
  <c r="K1514" i="12" s="1"/>
  <c r="L1516" i="12" s="1"/>
  <c r="E49" i="13" s="1"/>
  <c r="J1311" i="12"/>
  <c r="J1308" i="12"/>
  <c r="J1288" i="12"/>
  <c r="J1285" i="12"/>
  <c r="J1275" i="12"/>
  <c r="J1124" i="12"/>
  <c r="J1041" i="12"/>
  <c r="J1038" i="12"/>
  <c r="J1028" i="12"/>
  <c r="J834" i="12"/>
  <c r="J751" i="12"/>
  <c r="J748" i="12"/>
  <c r="J738" i="12"/>
  <c r="J544" i="12"/>
  <c r="J452" i="12"/>
  <c r="J462" i="12"/>
  <c r="J1312" i="12"/>
  <c r="J1307" i="12"/>
  <c r="J1289" i="12"/>
  <c r="J1284" i="12"/>
  <c r="J1274" i="12"/>
  <c r="J1240" i="12"/>
  <c r="J1163" i="12"/>
  <c r="J1123" i="12"/>
  <c r="J1042" i="12"/>
  <c r="J1037" i="12"/>
  <c r="J1027" i="12"/>
  <c r="J993" i="12"/>
  <c r="J983" i="12"/>
  <c r="J948" i="12"/>
  <c r="J873" i="12"/>
  <c r="J833" i="12"/>
  <c r="J752" i="12"/>
  <c r="J747" i="12"/>
  <c r="J737" i="12"/>
  <c r="J703" i="12"/>
  <c r="J693" i="12"/>
  <c r="J658" i="12"/>
  <c r="J583" i="12"/>
  <c r="J543" i="12"/>
  <c r="J461" i="12"/>
  <c r="J451" i="12"/>
  <c r="J440" i="12"/>
  <c r="J345" i="12"/>
  <c r="J390" i="12"/>
  <c r="J439" i="12"/>
  <c r="J388" i="12"/>
  <c r="J437" i="12"/>
  <c r="J326" i="12"/>
  <c r="J1231" i="12"/>
  <c r="J511" i="12"/>
  <c r="J628" i="12"/>
  <c r="J801" i="12"/>
  <c r="J918" i="12"/>
  <c r="J1091" i="12"/>
  <c r="J1208" i="12"/>
  <c r="J908" i="12"/>
  <c r="J1198" i="12"/>
  <c r="J236" i="12"/>
  <c r="J291" i="12"/>
  <c r="J404" i="12"/>
  <c r="J534" i="12"/>
  <c r="J598" i="12"/>
  <c r="J608" i="12"/>
  <c r="J683" i="12"/>
  <c r="J824" i="12"/>
  <c r="J888" i="12"/>
  <c r="J898" i="12"/>
  <c r="J973" i="12"/>
  <c r="J1114" i="12"/>
  <c r="J1178" i="12"/>
  <c r="J1188" i="12"/>
  <c r="J212" i="12"/>
  <c r="J227" i="12"/>
  <c r="J237" i="12"/>
  <c r="J252" i="12"/>
  <c r="J267" i="12"/>
  <c r="J277" i="12"/>
  <c r="J292" i="12"/>
  <c r="J336" i="12"/>
  <c r="J346" i="12"/>
  <c r="J559" i="12"/>
  <c r="J569" i="12"/>
  <c r="J584" i="12"/>
  <c r="J599" i="12"/>
  <c r="J609" i="12"/>
  <c r="J619" i="12"/>
  <c r="J629" i="12"/>
  <c r="J644" i="12"/>
  <c r="J659" i="12"/>
  <c r="J669" i="12"/>
  <c r="J684" i="12"/>
  <c r="J694" i="12"/>
  <c r="J704" i="12"/>
  <c r="J849" i="12"/>
  <c r="J859" i="12"/>
  <c r="J874" i="12"/>
  <c r="J889" i="12"/>
  <c r="J899" i="12"/>
  <c r="J909" i="12"/>
  <c r="J919" i="12"/>
  <c r="J934" i="12"/>
  <c r="J949" i="12"/>
  <c r="J959" i="12"/>
  <c r="J974" i="12"/>
  <c r="J984" i="12"/>
  <c r="J994" i="12"/>
  <c r="J1139" i="12"/>
  <c r="J1149" i="12"/>
  <c r="J1164" i="12"/>
  <c r="J1179" i="12"/>
  <c r="J1189" i="12"/>
  <c r="J1199" i="12"/>
  <c r="J1209" i="12"/>
  <c r="J1219" i="12"/>
  <c r="J1241" i="12"/>
  <c r="J335" i="12"/>
  <c r="J201" i="12"/>
  <c r="J211" i="12"/>
  <c r="J266" i="12"/>
  <c r="J391" i="12"/>
  <c r="J520" i="12"/>
  <c r="J558" i="12"/>
  <c r="J568" i="12"/>
  <c r="J643" i="12"/>
  <c r="J668" i="12"/>
  <c r="J810" i="12"/>
  <c r="J848" i="12"/>
  <c r="J858" i="12"/>
  <c r="J933" i="12"/>
  <c r="J958" i="12"/>
  <c r="J1100" i="12"/>
  <c r="J1138" i="12"/>
  <c r="J1148" i="12"/>
  <c r="J1218" i="12"/>
  <c r="J308" i="12"/>
  <c r="J378" i="12"/>
  <c r="J415" i="12"/>
  <c r="J715" i="12"/>
  <c r="J1005" i="12"/>
  <c r="J1230" i="12"/>
  <c r="J1252" i="12"/>
  <c r="J306" i="12"/>
  <c r="J376" i="12"/>
  <c r="J413" i="12"/>
  <c r="J713" i="12"/>
  <c r="J1003" i="12"/>
  <c r="J1228" i="12"/>
  <c r="J1250" i="12"/>
  <c r="J165" i="12"/>
  <c r="J178" i="12"/>
  <c r="J186" i="12"/>
  <c r="J200" i="12"/>
  <c r="J210" i="12"/>
  <c r="J225" i="12"/>
  <c r="J235" i="12"/>
  <c r="J250" i="12"/>
  <c r="J265" i="12"/>
  <c r="J275" i="12"/>
  <c r="J290" i="12"/>
  <c r="J305" i="12"/>
  <c r="J322" i="12"/>
  <c r="J334" i="12"/>
  <c r="J344" i="12"/>
  <c r="J359" i="12"/>
  <c r="J375" i="12"/>
  <c r="J387" i="12"/>
  <c r="J400" i="12"/>
  <c r="J412" i="12"/>
  <c r="J428" i="12"/>
  <c r="J436" i="12"/>
  <c r="J450" i="12"/>
  <c r="J460" i="12"/>
  <c r="J476" i="12"/>
  <c r="J489" i="12"/>
  <c r="J502" i="12"/>
  <c r="J510" i="12"/>
  <c r="J519" i="12"/>
  <c r="J533" i="12"/>
  <c r="J542" i="12"/>
  <c r="J557" i="12"/>
  <c r="J567" i="12"/>
  <c r="J582" i="12"/>
  <c r="J597" i="12"/>
  <c r="J607" i="12"/>
  <c r="J617" i="12"/>
  <c r="J627" i="12"/>
  <c r="J642" i="12"/>
  <c r="J657" i="12"/>
  <c r="J667" i="12"/>
  <c r="J682" i="12"/>
  <c r="J692" i="12"/>
  <c r="J702" i="12"/>
  <c r="J712" i="12"/>
  <c r="J728" i="12"/>
  <c r="J736" i="12"/>
  <c r="J746" i="12"/>
  <c r="J766" i="12"/>
  <c r="J779" i="12"/>
  <c r="J792" i="12"/>
  <c r="J800" i="12"/>
  <c r="J809" i="12"/>
  <c r="J823" i="12"/>
  <c r="J832" i="12"/>
  <c r="J847" i="12"/>
  <c r="J857" i="12"/>
  <c r="J872" i="12"/>
  <c r="J887" i="12"/>
  <c r="J897" i="12"/>
  <c r="J907" i="12"/>
  <c r="J917" i="12"/>
  <c r="J932" i="12"/>
  <c r="J947" i="12"/>
  <c r="J957" i="12"/>
  <c r="J972" i="12"/>
  <c r="J982" i="12"/>
  <c r="J992" i="12"/>
  <c r="J1002" i="12"/>
  <c r="J1018" i="12"/>
  <c r="J1026" i="12"/>
  <c r="J1036" i="12"/>
  <c r="J1056" i="12"/>
  <c r="J1069" i="12"/>
  <c r="J1082" i="12"/>
  <c r="J1090" i="12"/>
  <c r="J1099" i="12"/>
  <c r="J1113" i="12"/>
  <c r="J1122" i="12"/>
  <c r="J1137" i="12"/>
  <c r="J1147" i="12"/>
  <c r="J1162" i="12"/>
  <c r="J1177" i="12"/>
  <c r="J1187" i="12"/>
  <c r="J1197" i="12"/>
  <c r="J1207" i="12"/>
  <c r="J1217" i="12"/>
  <c r="J1227" i="12"/>
  <c r="J1239" i="12"/>
  <c r="J1249" i="12"/>
  <c r="J1265" i="12"/>
  <c r="J1273" i="12"/>
  <c r="J1283" i="12"/>
  <c r="J1298" i="12"/>
  <c r="J1306" i="12"/>
  <c r="J173" i="12"/>
  <c r="J195" i="12"/>
  <c r="J220" i="12"/>
  <c r="J230" i="12"/>
  <c r="J245" i="12"/>
  <c r="J260" i="12"/>
  <c r="J285" i="12"/>
  <c r="J300" i="12"/>
  <c r="J317" i="12"/>
  <c r="J354" i="12"/>
  <c r="J370" i="12"/>
  <c r="J423" i="12"/>
  <c r="J471" i="12"/>
  <c r="J484" i="12"/>
  <c r="J497" i="12"/>
  <c r="J528" i="12"/>
  <c r="J552" i="12"/>
  <c r="J577" i="12"/>
  <c r="J592" i="12"/>
  <c r="J602" i="12"/>
  <c r="J612" i="12"/>
  <c r="J637" i="12"/>
  <c r="J652" i="12"/>
  <c r="J677" i="12"/>
  <c r="J723" i="12"/>
  <c r="J761" i="12"/>
  <c r="J774" i="12"/>
  <c r="J787" i="12"/>
  <c r="J818" i="12"/>
  <c r="J842" i="12"/>
  <c r="J867" i="12"/>
  <c r="J882" i="12"/>
  <c r="J892" i="12"/>
  <c r="J902" i="12"/>
  <c r="J927" i="12"/>
  <c r="J942" i="12"/>
  <c r="J967" i="12"/>
  <c r="J1013" i="12"/>
  <c r="J1051" i="12"/>
  <c r="J1064" i="12"/>
  <c r="J1077" i="12"/>
  <c r="J1108" i="12"/>
  <c r="J1132" i="12"/>
  <c r="J1157" i="12"/>
  <c r="J1172" i="12"/>
  <c r="J1182" i="12"/>
  <c r="J1192" i="12"/>
  <c r="J1222" i="12"/>
  <c r="J1260" i="12"/>
  <c r="J155" i="12"/>
  <c r="J168" i="12"/>
  <c r="J181" i="12"/>
  <c r="J190" i="12"/>
  <c r="J205" i="12"/>
  <c r="J215" i="12"/>
  <c r="J240" i="12"/>
  <c r="J255" i="12"/>
  <c r="J270" i="12"/>
  <c r="J280" i="12"/>
  <c r="J295" i="12"/>
  <c r="J312" i="12"/>
  <c r="J329" i="12"/>
  <c r="J339" i="12"/>
  <c r="J349" i="12"/>
  <c r="J365" i="12"/>
  <c r="J381" i="12"/>
  <c r="J382" i="12"/>
  <c r="J394" i="12"/>
  <c r="J395" i="12"/>
  <c r="J407" i="12"/>
  <c r="J418" i="12"/>
  <c r="J431" i="12"/>
  <c r="J445" i="12"/>
  <c r="J455" i="12"/>
  <c r="J466" i="12"/>
  <c r="J479" i="12"/>
  <c r="J492" i="12"/>
  <c r="J505" i="12"/>
  <c r="J514" i="12"/>
  <c r="J523" i="12"/>
  <c r="J537" i="12"/>
  <c r="J547" i="12"/>
  <c r="J562" i="12"/>
  <c r="J572" i="12"/>
  <c r="J587" i="12"/>
  <c r="J622" i="12"/>
  <c r="J632" i="12"/>
  <c r="J647" i="12"/>
  <c r="J662" i="12"/>
  <c r="J672" i="12"/>
  <c r="J687" i="12"/>
  <c r="J697" i="12"/>
  <c r="J707" i="12"/>
  <c r="J718" i="12"/>
  <c r="J731" i="12"/>
  <c r="J741" i="12"/>
  <c r="J756" i="12"/>
  <c r="J769" i="12"/>
  <c r="J782" i="12"/>
  <c r="J795" i="12"/>
  <c r="J804" i="12"/>
  <c r="J813" i="12"/>
  <c r="J827" i="12"/>
  <c r="J837" i="12"/>
  <c r="J852" i="12"/>
  <c r="J862" i="12"/>
  <c r="J877" i="12"/>
  <c r="J912" i="12"/>
  <c r="J922" i="12"/>
  <c r="J937" i="12"/>
  <c r="J952" i="12"/>
  <c r="J962" i="12"/>
  <c r="J977" i="12"/>
  <c r="J987" i="12"/>
  <c r="J997" i="12"/>
  <c r="J1008" i="12"/>
  <c r="J1021" i="12"/>
  <c r="J1031" i="12"/>
  <c r="J1046" i="12"/>
  <c r="J1059" i="12"/>
  <c r="J1072" i="12"/>
  <c r="J1085" i="12"/>
  <c r="J1094" i="12"/>
  <c r="J1103" i="12"/>
  <c r="J1117" i="12"/>
  <c r="J1127" i="12"/>
  <c r="J1142" i="12"/>
  <c r="J1152" i="12"/>
  <c r="J1167" i="12"/>
  <c r="J1202" i="12"/>
  <c r="J1212" i="12"/>
  <c r="J1234" i="12"/>
  <c r="J1244" i="12"/>
  <c r="J1255" i="12"/>
  <c r="J1268" i="12"/>
  <c r="J1278" i="12"/>
  <c r="J1293" i="12"/>
  <c r="J1301" i="12"/>
  <c r="J135" i="12"/>
  <c r="J122" i="12"/>
  <c r="J123" i="12"/>
  <c r="J124" i="12"/>
  <c r="J125" i="12"/>
  <c r="J126" i="12"/>
  <c r="J127" i="12"/>
  <c r="J128" i="12"/>
  <c r="J129" i="12"/>
  <c r="J130" i="12"/>
  <c r="J52" i="12"/>
  <c r="J18" i="12"/>
  <c r="A1528" i="12"/>
  <c r="A1527" i="12"/>
  <c r="A1526" i="12"/>
  <c r="H1525" i="12"/>
  <c r="K1525" i="12" s="1"/>
  <c r="H1523" i="12"/>
  <c r="K1523" i="12" s="1"/>
  <c r="A1522" i="12"/>
  <c r="H1503" i="12"/>
  <c r="K1503" i="12" s="1"/>
  <c r="H1502" i="12"/>
  <c r="K1502" i="12" s="1"/>
  <c r="H1499" i="12"/>
  <c r="K1499" i="12" s="1"/>
  <c r="H1496" i="12"/>
  <c r="K1496" i="12" s="1"/>
  <c r="H1495" i="12"/>
  <c r="K1495" i="12" s="1"/>
  <c r="H1494" i="12"/>
  <c r="K1494" i="12" s="1"/>
  <c r="H1493" i="12"/>
  <c r="K1493" i="12" s="1"/>
  <c r="H1492" i="12"/>
  <c r="K1492" i="12" s="1"/>
  <c r="H1489" i="12"/>
  <c r="K1489" i="12" s="1"/>
  <c r="H1488" i="12"/>
  <c r="K1488" i="12" s="1"/>
  <c r="H1487" i="12"/>
  <c r="K1487" i="12" s="1"/>
  <c r="H1486" i="12"/>
  <c r="K1486" i="12" s="1"/>
  <c r="H1485" i="12"/>
  <c r="K1485" i="12" s="1"/>
  <c r="H1484" i="12"/>
  <c r="K1484" i="12" s="1"/>
  <c r="H1483" i="12"/>
  <c r="K1483" i="12" s="1"/>
  <c r="H1482" i="12"/>
  <c r="K1482" i="12" s="1"/>
  <c r="H1479" i="12"/>
  <c r="K1479" i="12" s="1"/>
  <c r="H1472" i="12"/>
  <c r="K1472" i="12" s="1"/>
  <c r="H1471" i="12"/>
  <c r="K1471" i="12" s="1"/>
  <c r="H1470" i="12"/>
  <c r="K1470" i="12" s="1"/>
  <c r="H1469" i="12"/>
  <c r="K1469" i="12" s="1"/>
  <c r="H1467" i="12"/>
  <c r="K1467" i="12" s="1"/>
  <c r="H1466" i="12"/>
  <c r="K1466" i="12" s="1"/>
  <c r="H1453" i="12"/>
  <c r="K1453" i="12" s="1"/>
  <c r="L1462" i="12" s="1"/>
  <c r="E44" i="13" s="1"/>
  <c r="H1418" i="12"/>
  <c r="K1418" i="12" s="1"/>
  <c r="L1420" i="12" s="1"/>
  <c r="E39" i="13" s="1"/>
  <c r="H1413" i="12"/>
  <c r="K1413" i="12" s="1"/>
  <c r="H1412" i="12"/>
  <c r="K1412" i="12" s="1"/>
  <c r="F1411" i="12"/>
  <c r="H1411" i="12" s="1"/>
  <c r="K1411" i="12" s="1"/>
  <c r="F1410" i="12"/>
  <c r="H1410" i="12" s="1"/>
  <c r="K1410" i="12" s="1"/>
  <c r="F1409" i="12"/>
  <c r="H1409" i="12" s="1"/>
  <c r="K1409" i="12" s="1"/>
  <c r="H1408" i="12"/>
  <c r="K1408" i="12" s="1"/>
  <c r="F1407" i="12"/>
  <c r="H1406" i="12"/>
  <c r="K1406" i="12" s="1"/>
  <c r="H1405" i="12"/>
  <c r="K1405" i="12" s="1"/>
  <c r="H1404" i="12"/>
  <c r="K1404" i="12" s="1"/>
  <c r="H1403" i="12"/>
  <c r="K1403" i="12" s="1"/>
  <c r="F1402" i="12"/>
  <c r="F1352" i="12"/>
  <c r="H1352" i="12" s="1"/>
  <c r="K1352" i="12" s="1"/>
  <c r="L1354" i="12" s="1"/>
  <c r="E31" i="13" s="1"/>
  <c r="H1347" i="12"/>
  <c r="K1347" i="12" s="1"/>
  <c r="F1346" i="12"/>
  <c r="H1346" i="12" s="1"/>
  <c r="K1346" i="12" s="1"/>
  <c r="F1341" i="12"/>
  <c r="H1358" i="12"/>
  <c r="K1358" i="12" s="1"/>
  <c r="F1357" i="12"/>
  <c r="F1336" i="12"/>
  <c r="H1336" i="12" s="1"/>
  <c r="K1336" i="12" s="1"/>
  <c r="H1335" i="12"/>
  <c r="K1335" i="12" s="1"/>
  <c r="H1334" i="12"/>
  <c r="K1334" i="12" s="1"/>
  <c r="L1505" i="12" l="1"/>
  <c r="E46" i="13" s="1"/>
  <c r="K1529" i="12"/>
  <c r="L1527" i="12"/>
  <c r="L1529" i="12" s="1"/>
  <c r="L1338" i="12"/>
  <c r="E28" i="13" s="1"/>
  <c r="H1407" i="12"/>
  <c r="K1407" i="12" s="1"/>
  <c r="H1402" i="12"/>
  <c r="K1402" i="12" s="1"/>
  <c r="L1349" i="12"/>
  <c r="E30" i="13" s="1"/>
  <c r="H1357" i="12"/>
  <c r="K1357" i="12" s="1"/>
  <c r="L1360" i="12" s="1"/>
  <c r="E32" i="13" s="1"/>
  <c r="H1341" i="12"/>
  <c r="K1341" i="12" s="1"/>
  <c r="L1343" i="12" s="1"/>
  <c r="E29" i="13" s="1"/>
  <c r="L1415" i="12" l="1"/>
  <c r="E38" i="13" s="1"/>
  <c r="L1530" i="12"/>
  <c r="F18" i="12" l="1"/>
  <c r="F16" i="12"/>
  <c r="A36" i="16"/>
  <c r="A35" i="16"/>
  <c r="A34" i="16"/>
  <c r="A33" i="16"/>
  <c r="H32" i="16"/>
  <c r="I32" i="16" s="1"/>
  <c r="A31" i="16"/>
  <c r="H30" i="16"/>
  <c r="G30" i="16"/>
  <c r="H29" i="16"/>
  <c r="G29" i="16"/>
  <c r="H28" i="16"/>
  <c r="G28" i="16"/>
  <c r="H27" i="16"/>
  <c r="G27" i="16"/>
  <c r="H26" i="16"/>
  <c r="G26" i="16"/>
  <c r="H25" i="16"/>
  <c r="G25" i="16"/>
  <c r="H24" i="16"/>
  <c r="G24" i="16"/>
  <c r="H23" i="16"/>
  <c r="G23" i="16"/>
  <c r="H22" i="16"/>
  <c r="G22" i="16"/>
  <c r="H21" i="16"/>
  <c r="G21" i="16"/>
  <c r="H20" i="16"/>
  <c r="G20" i="16"/>
  <c r="H19" i="16"/>
  <c r="G19" i="16"/>
  <c r="H18" i="16"/>
  <c r="G18" i="16"/>
  <c r="H17" i="16"/>
  <c r="G17" i="16"/>
  <c r="H16" i="16"/>
  <c r="G16" i="16"/>
  <c r="H15" i="16"/>
  <c r="G15" i="16"/>
  <c r="H14" i="16"/>
  <c r="G14" i="16"/>
  <c r="H13" i="16"/>
  <c r="G13" i="16"/>
  <c r="H12" i="16"/>
  <c r="G12" i="16"/>
  <c r="H11" i="16"/>
  <c r="G11" i="16"/>
  <c r="H10" i="16"/>
  <c r="G10" i="16"/>
  <c r="A9" i="16"/>
  <c r="A8" i="16"/>
  <c r="A7" i="16"/>
  <c r="I21" i="16" l="1"/>
  <c r="I13" i="16"/>
  <c r="I17" i="16"/>
  <c r="I29" i="16"/>
  <c r="I14" i="16"/>
  <c r="I18" i="16"/>
  <c r="I22" i="16"/>
  <c r="I26" i="16"/>
  <c r="I30" i="16"/>
  <c r="G36" i="16"/>
  <c r="I12" i="16"/>
  <c r="I16" i="16"/>
  <c r="I20" i="16"/>
  <c r="I24" i="16"/>
  <c r="I25" i="16"/>
  <c r="I28" i="16"/>
  <c r="H16" i="12"/>
  <c r="K16" i="12" s="1"/>
  <c r="I10" i="16"/>
  <c r="H36" i="16"/>
  <c r="I37" i="16" s="1"/>
  <c r="I11" i="16"/>
  <c r="I15" i="16"/>
  <c r="I19" i="16"/>
  <c r="I23" i="16"/>
  <c r="I27" i="16"/>
  <c r="A10" i="16"/>
  <c r="A11" i="16" s="1"/>
  <c r="I38" i="16" l="1"/>
  <c r="B5" i="16" s="1"/>
  <c r="A12" i="16"/>
  <c r="A13" i="16" l="1"/>
  <c r="A14" i="16" l="1"/>
  <c r="A15" i="16" l="1"/>
  <c r="A16" i="16" l="1"/>
  <c r="A17" i="16" s="1"/>
  <c r="A18" i="16" s="1"/>
  <c r="A19" i="16" l="1"/>
  <c r="A20" i="16" s="1"/>
  <c r="A21" i="16" s="1"/>
  <c r="A22" i="16" s="1"/>
  <c r="A23" i="16" s="1"/>
  <c r="A24" i="16" s="1"/>
  <c r="A25" i="16" s="1"/>
  <c r="A26" i="16" s="1"/>
  <c r="A27" i="16" s="1"/>
  <c r="A29" i="16" s="1"/>
  <c r="A28" i="16" l="1"/>
  <c r="A30" i="16" s="1"/>
  <c r="A32" i="16" s="1"/>
  <c r="F104" i="12" l="1"/>
  <c r="F114" i="12"/>
  <c r="H111" i="12"/>
  <c r="K111" i="12" s="1"/>
  <c r="H101" i="12"/>
  <c r="K101" i="12" s="1"/>
  <c r="H110" i="12"/>
  <c r="K110" i="12" s="1"/>
  <c r="H115" i="12"/>
  <c r="K115" i="12" s="1"/>
  <c r="H113" i="12"/>
  <c r="K113" i="12" s="1"/>
  <c r="H114" i="12"/>
  <c r="K114" i="12" s="1"/>
  <c r="H108" i="12"/>
  <c r="K108" i="12" s="1"/>
  <c r="H107" i="12"/>
  <c r="K107" i="12" s="1"/>
  <c r="H112" i="12"/>
  <c r="K112" i="12" s="1"/>
  <c r="H105" i="12"/>
  <c r="K105" i="12" s="1"/>
  <c r="H103" i="12"/>
  <c r="K103" i="12" s="1"/>
  <c r="H100" i="12"/>
  <c r="K100" i="12" s="1"/>
  <c r="H99" i="12"/>
  <c r="K99" i="12" s="1"/>
  <c r="H135" i="12"/>
  <c r="K135" i="12" s="1"/>
  <c r="L137" i="12" s="1"/>
  <c r="E23" i="13" s="1"/>
  <c r="F130" i="12"/>
  <c r="F129" i="12"/>
  <c r="H129" i="12" s="1"/>
  <c r="K129" i="12" s="1"/>
  <c r="F128" i="12"/>
  <c r="F127" i="12"/>
  <c r="F126" i="12"/>
  <c r="F125" i="12"/>
  <c r="F124" i="12"/>
  <c r="F123" i="12"/>
  <c r="F122" i="12"/>
  <c r="F121" i="12"/>
  <c r="H104" i="12" l="1"/>
  <c r="K104" i="12" s="1"/>
  <c r="H77" i="12"/>
  <c r="K77" i="12" s="1"/>
  <c r="H76" i="12"/>
  <c r="K76" i="12" s="1"/>
  <c r="H78" i="12"/>
  <c r="K78" i="12" s="1"/>
  <c r="H73" i="12"/>
  <c r="K73" i="12" s="1"/>
  <c r="H80" i="12"/>
  <c r="K80" i="12" s="1"/>
  <c r="F79" i="12"/>
  <c r="H75" i="12"/>
  <c r="K75" i="12" s="1"/>
  <c r="F60" i="12"/>
  <c r="F58" i="12"/>
  <c r="F1376" i="12"/>
  <c r="F1375" i="12"/>
  <c r="F1374" i="12"/>
  <c r="F9" i="12"/>
  <c r="H1377" i="12"/>
  <c r="K1377" i="12" s="1"/>
  <c r="F1320" i="12"/>
  <c r="F1321" i="12"/>
  <c r="F1323" i="12"/>
  <c r="F1393" i="12"/>
  <c r="F1317" i="12"/>
  <c r="F1329" i="12"/>
  <c r="F1319" i="12"/>
  <c r="F1318" i="12"/>
  <c r="F1322" i="12"/>
  <c r="H1322" i="12" s="1"/>
  <c r="K1322" i="12" s="1"/>
  <c r="H1392" i="12"/>
  <c r="K1392" i="12" s="1"/>
  <c r="H1321" i="12" l="1"/>
  <c r="K1321" i="12" s="1"/>
  <c r="F1041" i="12"/>
  <c r="F1288" i="12"/>
  <c r="F1311" i="12"/>
  <c r="F1298" i="12"/>
  <c r="F1293" i="12"/>
  <c r="H1293" i="12" s="1"/>
  <c r="H1294" i="12" s="1"/>
  <c r="H1295" i="12" s="1"/>
  <c r="F1312" i="12"/>
  <c r="F1308" i="12"/>
  <c r="F1306" i="12"/>
  <c r="F1307" i="12"/>
  <c r="F1301" i="12"/>
  <c r="F1289" i="12"/>
  <c r="F1285" i="12"/>
  <c r="H1285" i="12" s="1"/>
  <c r="K1285" i="12" s="1"/>
  <c r="F1284" i="12"/>
  <c r="H1284" i="12" s="1"/>
  <c r="K1284" i="12" s="1"/>
  <c r="F1283" i="12"/>
  <c r="H1283" i="12" s="1"/>
  <c r="K1283" i="12" s="1"/>
  <c r="F1278" i="12"/>
  <c r="H1278" i="12" s="1"/>
  <c r="F1275" i="12"/>
  <c r="F1274" i="12"/>
  <c r="F1273" i="12"/>
  <c r="F1268" i="12"/>
  <c r="F1265" i="12"/>
  <c r="F1260" i="12"/>
  <c r="F1255" i="12"/>
  <c r="F1241" i="12"/>
  <c r="F1240" i="12"/>
  <c r="F1239" i="12"/>
  <c r="F1234" i="12"/>
  <c r="H1229" i="12"/>
  <c r="F1231" i="12"/>
  <c r="H1231" i="12" s="1"/>
  <c r="K1231" i="12" s="1"/>
  <c r="F1230" i="12"/>
  <c r="H1230" i="12" s="1"/>
  <c r="K1230" i="12" s="1"/>
  <c r="F1228" i="12"/>
  <c r="H1228" i="12" s="1"/>
  <c r="K1228" i="12" s="1"/>
  <c r="F1227" i="12"/>
  <c r="H1227" i="12" s="1"/>
  <c r="K1227" i="12" s="1"/>
  <c r="F1222" i="12"/>
  <c r="H1222" i="12" s="1"/>
  <c r="H1225" i="12" s="1"/>
  <c r="F1219" i="12"/>
  <c r="F1218" i="12"/>
  <c r="F1217" i="12"/>
  <c r="F1212" i="12"/>
  <c r="F1199" i="12"/>
  <c r="F1198" i="12"/>
  <c r="F1197" i="12"/>
  <c r="F1192" i="12"/>
  <c r="F1189" i="12"/>
  <c r="F1188" i="12"/>
  <c r="F1187" i="12"/>
  <c r="F1182" i="12"/>
  <c r="F1177" i="12"/>
  <c r="H1177" i="12" s="1"/>
  <c r="K1177" i="12" s="1"/>
  <c r="F1179" i="12"/>
  <c r="H1179" i="12" s="1"/>
  <c r="K1179" i="12" s="1"/>
  <c r="F1178" i="12"/>
  <c r="H1178" i="12" s="1"/>
  <c r="K1178" i="12" s="1"/>
  <c r="F1172" i="12"/>
  <c r="H1172" i="12" s="1"/>
  <c r="H1175" i="12" s="1"/>
  <c r="F1167" i="12"/>
  <c r="H1167" i="12" s="1"/>
  <c r="H1171" i="12" s="1"/>
  <c r="F1164" i="12"/>
  <c r="F1163" i="12"/>
  <c r="F1162" i="12"/>
  <c r="F1157" i="12"/>
  <c r="F1152" i="12"/>
  <c r="F1149" i="12"/>
  <c r="F1148" i="12"/>
  <c r="F1147" i="12"/>
  <c r="F1142" i="12"/>
  <c r="F1139" i="12"/>
  <c r="H1139" i="12" s="1"/>
  <c r="K1139" i="12" s="1"/>
  <c r="F1138" i="12"/>
  <c r="H1138" i="12" s="1"/>
  <c r="K1138" i="12" s="1"/>
  <c r="F1137" i="12"/>
  <c r="H1137" i="12" s="1"/>
  <c r="K1137" i="12" s="1"/>
  <c r="F1132" i="12"/>
  <c r="H1132" i="12" s="1"/>
  <c r="H1135" i="12" s="1"/>
  <c r="F1127" i="12"/>
  <c r="H1127" i="12" s="1"/>
  <c r="H1131" i="12" s="1"/>
  <c r="F1069" i="12"/>
  <c r="F1064" i="12"/>
  <c r="F1059" i="12"/>
  <c r="F1056" i="12"/>
  <c r="F1051" i="12"/>
  <c r="F1046" i="12"/>
  <c r="F1042" i="12"/>
  <c r="F1038" i="12"/>
  <c r="H1038" i="12" s="1"/>
  <c r="K1038" i="12" s="1"/>
  <c r="F1037" i="12"/>
  <c r="H1037" i="12" s="1"/>
  <c r="K1037" i="12" s="1"/>
  <c r="F1036" i="12"/>
  <c r="H1036" i="12" s="1"/>
  <c r="K1036" i="12" s="1"/>
  <c r="F1031" i="12"/>
  <c r="H1031" i="12" s="1"/>
  <c r="H1034" i="12" s="1"/>
  <c r="F1028" i="12"/>
  <c r="F1027" i="12"/>
  <c r="F1026" i="12"/>
  <c r="F1021" i="12"/>
  <c r="F1018" i="12"/>
  <c r="H1018" i="12" s="1"/>
  <c r="K1018" i="12" s="1"/>
  <c r="F1013" i="12"/>
  <c r="H1013" i="12" s="1"/>
  <c r="F1008" i="12"/>
  <c r="F1005" i="12"/>
  <c r="H1005" i="12" s="1"/>
  <c r="K1005" i="12" s="1"/>
  <c r="H1004" i="12"/>
  <c r="F1003" i="12"/>
  <c r="F1002" i="12"/>
  <c r="F997" i="12"/>
  <c r="F994" i="12"/>
  <c r="H994" i="12" s="1"/>
  <c r="K994" i="12" s="1"/>
  <c r="F993" i="12"/>
  <c r="H993" i="12" s="1"/>
  <c r="K993" i="12" s="1"/>
  <c r="F992" i="12"/>
  <c r="H992" i="12" s="1"/>
  <c r="K992" i="12" s="1"/>
  <c r="F987" i="12"/>
  <c r="H987" i="12" s="1"/>
  <c r="F984" i="12"/>
  <c r="F983" i="12"/>
  <c r="F982" i="12"/>
  <c r="F977" i="12"/>
  <c r="F974" i="12"/>
  <c r="H974" i="12" s="1"/>
  <c r="K974" i="12" s="1"/>
  <c r="F973" i="12"/>
  <c r="H973" i="12" s="1"/>
  <c r="K973" i="12" s="1"/>
  <c r="F972" i="12"/>
  <c r="H972" i="12" s="1"/>
  <c r="K972" i="12" s="1"/>
  <c r="F967" i="12"/>
  <c r="H967" i="12" s="1"/>
  <c r="H970" i="12" s="1"/>
  <c r="F962" i="12"/>
  <c r="H962" i="12" s="1"/>
  <c r="H965" i="12" s="1"/>
  <c r="F959" i="12"/>
  <c r="F958" i="12"/>
  <c r="F957" i="12"/>
  <c r="F952" i="12"/>
  <c r="F949" i="12"/>
  <c r="H949" i="12" s="1"/>
  <c r="K949" i="12" s="1"/>
  <c r="F948" i="12"/>
  <c r="H948" i="12" s="1"/>
  <c r="K948" i="12" s="1"/>
  <c r="F947" i="12"/>
  <c r="H947" i="12" s="1"/>
  <c r="K947" i="12" s="1"/>
  <c r="F942" i="12"/>
  <c r="H942" i="12" s="1"/>
  <c r="H945" i="12" s="1"/>
  <c r="F937" i="12"/>
  <c r="H937" i="12" s="1"/>
  <c r="F934" i="12"/>
  <c r="H934" i="12" s="1"/>
  <c r="K934" i="12" s="1"/>
  <c r="F933" i="12"/>
  <c r="H933" i="12" s="1"/>
  <c r="K933" i="12" s="1"/>
  <c r="F932" i="12"/>
  <c r="H932" i="12" s="1"/>
  <c r="K932" i="12" s="1"/>
  <c r="F927" i="12"/>
  <c r="H927" i="12" s="1"/>
  <c r="F922" i="12"/>
  <c r="H922" i="12" s="1"/>
  <c r="H925" i="12" s="1"/>
  <c r="F919" i="12"/>
  <c r="F918" i="12"/>
  <c r="F917" i="12"/>
  <c r="F912" i="12"/>
  <c r="F909" i="12"/>
  <c r="H909" i="12" s="1"/>
  <c r="K909" i="12" s="1"/>
  <c r="F908" i="12"/>
  <c r="H908" i="12" s="1"/>
  <c r="K908" i="12" s="1"/>
  <c r="F907" i="12"/>
  <c r="H907" i="12" s="1"/>
  <c r="K907" i="12" s="1"/>
  <c r="F902" i="12"/>
  <c r="H902" i="12" s="1"/>
  <c r="F899" i="12"/>
  <c r="H899" i="12" s="1"/>
  <c r="K899" i="12" s="1"/>
  <c r="F898" i="12"/>
  <c r="H898" i="12" s="1"/>
  <c r="K898" i="12" s="1"/>
  <c r="F897" i="12"/>
  <c r="H897" i="12" s="1"/>
  <c r="K897" i="12" s="1"/>
  <c r="F892" i="12"/>
  <c r="F889" i="12"/>
  <c r="H889" i="12" s="1"/>
  <c r="K889" i="12" s="1"/>
  <c r="F888" i="12"/>
  <c r="H888" i="12" s="1"/>
  <c r="K888" i="12" s="1"/>
  <c r="F887" i="12"/>
  <c r="H887" i="12" s="1"/>
  <c r="K887" i="12" s="1"/>
  <c r="F882" i="12"/>
  <c r="H882" i="12" s="1"/>
  <c r="F877" i="12"/>
  <c r="H877" i="12" s="1"/>
  <c r="K877" i="12" s="1"/>
  <c r="F874" i="12"/>
  <c r="H874" i="12" s="1"/>
  <c r="K874" i="12" s="1"/>
  <c r="F873" i="12"/>
  <c r="H873" i="12" s="1"/>
  <c r="K873" i="12" s="1"/>
  <c r="F872" i="12"/>
  <c r="F867" i="12"/>
  <c r="H867" i="12" s="1"/>
  <c r="H868" i="12" s="1"/>
  <c r="H869" i="12" s="1"/>
  <c r="F862" i="12"/>
  <c r="H862" i="12" s="1"/>
  <c r="F859" i="12"/>
  <c r="H859" i="12" s="1"/>
  <c r="K859" i="12" s="1"/>
  <c r="F858" i="12"/>
  <c r="F857" i="12"/>
  <c r="H857" i="12" s="1"/>
  <c r="K857" i="12" s="1"/>
  <c r="F852" i="12"/>
  <c r="F849" i="12"/>
  <c r="H849" i="12" s="1"/>
  <c r="K849" i="12" s="1"/>
  <c r="F848" i="12"/>
  <c r="H848" i="12" s="1"/>
  <c r="K848" i="12" s="1"/>
  <c r="F847" i="12"/>
  <c r="H847" i="12" s="1"/>
  <c r="K847" i="12" s="1"/>
  <c r="F842" i="12"/>
  <c r="H842" i="12" s="1"/>
  <c r="H846" i="12" s="1"/>
  <c r="F837" i="12"/>
  <c r="F834" i="12"/>
  <c r="H834" i="12" s="1"/>
  <c r="K834" i="12" s="1"/>
  <c r="F833" i="12"/>
  <c r="H833" i="12" s="1"/>
  <c r="K833" i="12" s="1"/>
  <c r="F832" i="12"/>
  <c r="H832" i="12" s="1"/>
  <c r="K832" i="12" s="1"/>
  <c r="F827" i="12"/>
  <c r="H827" i="12" s="1"/>
  <c r="H831" i="12" s="1"/>
  <c r="F824" i="12"/>
  <c r="H824" i="12" s="1"/>
  <c r="K824" i="12" s="1"/>
  <c r="F823" i="12"/>
  <c r="H823" i="12" s="1"/>
  <c r="K823" i="12" s="1"/>
  <c r="F818" i="12"/>
  <c r="H818" i="12" s="1"/>
  <c r="H821" i="12" s="1"/>
  <c r="F813" i="12"/>
  <c r="H813" i="12" s="1"/>
  <c r="H816" i="12" s="1"/>
  <c r="F810" i="12"/>
  <c r="H810" i="12" s="1"/>
  <c r="K810" i="12" s="1"/>
  <c r="F809" i="12"/>
  <c r="H809" i="12" s="1"/>
  <c r="K809" i="12" s="1"/>
  <c r="F804" i="12"/>
  <c r="H804" i="12" s="1"/>
  <c r="F801" i="12"/>
  <c r="H801" i="12" s="1"/>
  <c r="K801" i="12" s="1"/>
  <c r="F800" i="12"/>
  <c r="H800" i="12" s="1"/>
  <c r="K800" i="12" s="1"/>
  <c r="F795" i="12"/>
  <c r="H795" i="12" s="1"/>
  <c r="H798" i="12" s="1"/>
  <c r="F792" i="12"/>
  <c r="H792" i="12" s="1"/>
  <c r="K792" i="12" s="1"/>
  <c r="F787" i="12"/>
  <c r="H787" i="12" s="1"/>
  <c r="F782" i="12"/>
  <c r="H782" i="12" s="1"/>
  <c r="F779" i="12"/>
  <c r="H779" i="12" s="1"/>
  <c r="K779" i="12" s="1"/>
  <c r="F774" i="12"/>
  <c r="H774" i="12" s="1"/>
  <c r="H777" i="12" s="1"/>
  <c r="F769" i="12"/>
  <c r="H769" i="12" s="1"/>
  <c r="F766" i="12"/>
  <c r="F761" i="12"/>
  <c r="F756" i="12"/>
  <c r="H756" i="12" s="1"/>
  <c r="H757" i="12" s="1"/>
  <c r="H758" i="12" s="1"/>
  <c r="F1209" i="12"/>
  <c r="F1208" i="12"/>
  <c r="F1207" i="12"/>
  <c r="F1202" i="12"/>
  <c r="F1091" i="12"/>
  <c r="F1090" i="12"/>
  <c r="F1085" i="12"/>
  <c r="F752" i="12"/>
  <c r="F751" i="12"/>
  <c r="F748" i="12"/>
  <c r="H748" i="12" s="1"/>
  <c r="K748" i="12" s="1"/>
  <c r="F747" i="12"/>
  <c r="H747" i="12" s="1"/>
  <c r="K747" i="12" s="1"/>
  <c r="F746" i="12"/>
  <c r="H746" i="12" s="1"/>
  <c r="K746" i="12" s="1"/>
  <c r="F741" i="12"/>
  <c r="H741" i="12" s="1"/>
  <c r="F738" i="12"/>
  <c r="F737" i="12"/>
  <c r="F736" i="12"/>
  <c r="F731" i="12"/>
  <c r="F728" i="12"/>
  <c r="H728" i="12" s="1"/>
  <c r="K728" i="12" s="1"/>
  <c r="F723" i="12"/>
  <c r="H723" i="12" s="1"/>
  <c r="H726" i="12" s="1"/>
  <c r="F718" i="12"/>
  <c r="H718" i="12" s="1"/>
  <c r="H722" i="12" s="1"/>
  <c r="F715" i="12"/>
  <c r="H715" i="12" s="1"/>
  <c r="K715" i="12" s="1"/>
  <c r="H714" i="12"/>
  <c r="F713" i="12"/>
  <c r="F712" i="12"/>
  <c r="H712" i="12" s="1"/>
  <c r="K712" i="12" s="1"/>
  <c r="F707" i="12"/>
  <c r="H707" i="12" s="1"/>
  <c r="H710" i="12" s="1"/>
  <c r="F704" i="12"/>
  <c r="H704" i="12" s="1"/>
  <c r="K704" i="12" s="1"/>
  <c r="F703" i="12"/>
  <c r="H703" i="12" s="1"/>
  <c r="K703" i="12" s="1"/>
  <c r="F702" i="12"/>
  <c r="H702" i="12" s="1"/>
  <c r="K702" i="12" s="1"/>
  <c r="F697" i="12"/>
  <c r="H697" i="12" s="1"/>
  <c r="H700" i="12" s="1"/>
  <c r="F694" i="12"/>
  <c r="H694" i="12" s="1"/>
  <c r="K694" i="12" s="1"/>
  <c r="F693" i="12"/>
  <c r="F692" i="12"/>
  <c r="H692" i="12" s="1"/>
  <c r="K692" i="12" s="1"/>
  <c r="F687" i="12"/>
  <c r="H687" i="12" s="1"/>
  <c r="H690" i="12" s="1"/>
  <c r="F684" i="12"/>
  <c r="H684" i="12" s="1"/>
  <c r="K684" i="12" s="1"/>
  <c r="F683" i="12"/>
  <c r="H683" i="12" s="1"/>
  <c r="K683" i="12" s="1"/>
  <c r="F682" i="12"/>
  <c r="H682" i="12" s="1"/>
  <c r="K682" i="12" s="1"/>
  <c r="F677" i="12"/>
  <c r="H677" i="12" s="1"/>
  <c r="H680" i="12" s="1"/>
  <c r="F672" i="12"/>
  <c r="H672" i="12" s="1"/>
  <c r="H675" i="12" s="1"/>
  <c r="F669" i="12"/>
  <c r="F668" i="12"/>
  <c r="H668" i="12" s="1"/>
  <c r="K668" i="12" s="1"/>
  <c r="F667" i="12"/>
  <c r="F662" i="12"/>
  <c r="F659" i="12"/>
  <c r="H659" i="12" s="1"/>
  <c r="K659" i="12" s="1"/>
  <c r="F658" i="12"/>
  <c r="H658" i="12" s="1"/>
  <c r="K658" i="12" s="1"/>
  <c r="F657" i="12"/>
  <c r="H657" i="12" s="1"/>
  <c r="K657" i="12" s="1"/>
  <c r="F652" i="12"/>
  <c r="H652" i="12" s="1"/>
  <c r="F647" i="12"/>
  <c r="H647" i="12" s="1"/>
  <c r="H648" i="12" s="1"/>
  <c r="H649" i="12" s="1"/>
  <c r="F644" i="12"/>
  <c r="H644" i="12" s="1"/>
  <c r="K644" i="12" s="1"/>
  <c r="F643" i="12"/>
  <c r="H643" i="12" s="1"/>
  <c r="K643" i="12" s="1"/>
  <c r="F642" i="12"/>
  <c r="H642" i="12" s="1"/>
  <c r="K642" i="12" s="1"/>
  <c r="F637" i="12"/>
  <c r="H637" i="12" s="1"/>
  <c r="H641" i="12" s="1"/>
  <c r="F632" i="12"/>
  <c r="H632" i="12" s="1"/>
  <c r="F629" i="12"/>
  <c r="F628" i="12"/>
  <c r="H628" i="12" s="1"/>
  <c r="K628" i="12" s="1"/>
  <c r="F627" i="12"/>
  <c r="F622" i="12"/>
  <c r="H622" i="12" s="1"/>
  <c r="F619" i="12"/>
  <c r="H619" i="12" s="1"/>
  <c r="K619" i="12" s="1"/>
  <c r="F618" i="12"/>
  <c r="F617" i="12"/>
  <c r="H617" i="12" s="1"/>
  <c r="K617" i="12" s="1"/>
  <c r="F612" i="12"/>
  <c r="F609" i="12"/>
  <c r="H609" i="12" s="1"/>
  <c r="K609" i="12" s="1"/>
  <c r="F608" i="12"/>
  <c r="H608" i="12" s="1"/>
  <c r="K608" i="12" s="1"/>
  <c r="F607" i="12"/>
  <c r="H607" i="12" s="1"/>
  <c r="K607" i="12" s="1"/>
  <c r="F602" i="12"/>
  <c r="H602" i="12" s="1"/>
  <c r="H606" i="12" s="1"/>
  <c r="F599" i="12"/>
  <c r="H599" i="12" s="1"/>
  <c r="K599" i="12" s="1"/>
  <c r="F598" i="12"/>
  <c r="F597" i="12"/>
  <c r="H597" i="12" s="1"/>
  <c r="K597" i="12" s="1"/>
  <c r="F592" i="12"/>
  <c r="F587" i="12"/>
  <c r="H587" i="12" s="1"/>
  <c r="F584" i="12"/>
  <c r="H584" i="12" s="1"/>
  <c r="K584" i="12" s="1"/>
  <c r="F583" i="12"/>
  <c r="H583" i="12" s="1"/>
  <c r="K583" i="12" s="1"/>
  <c r="F582" i="12"/>
  <c r="H582" i="12" s="1"/>
  <c r="K582" i="12" s="1"/>
  <c r="F577" i="12"/>
  <c r="H577" i="12" s="1"/>
  <c r="F572" i="12"/>
  <c r="H572" i="12" s="1"/>
  <c r="F569" i="12"/>
  <c r="H569" i="12" s="1"/>
  <c r="K569" i="12" s="1"/>
  <c r="F568" i="12"/>
  <c r="H568" i="12" s="1"/>
  <c r="K568" i="12" s="1"/>
  <c r="F567" i="12"/>
  <c r="H567" i="12" s="1"/>
  <c r="K567" i="12" s="1"/>
  <c r="F562" i="12"/>
  <c r="H562" i="12" s="1"/>
  <c r="F559" i="12"/>
  <c r="H559" i="12" s="1"/>
  <c r="K559" i="12" s="1"/>
  <c r="F558" i="12"/>
  <c r="H558" i="12" s="1"/>
  <c r="K558" i="12" s="1"/>
  <c r="F557" i="12"/>
  <c r="F552" i="12"/>
  <c r="H552" i="12" s="1"/>
  <c r="F547" i="12"/>
  <c r="H547" i="12" s="1"/>
  <c r="H550" i="12" s="1"/>
  <c r="F544" i="12"/>
  <c r="H544" i="12" s="1"/>
  <c r="K544" i="12" s="1"/>
  <c r="F543" i="12"/>
  <c r="F542" i="12"/>
  <c r="H542" i="12" s="1"/>
  <c r="K542" i="12" s="1"/>
  <c r="F537" i="12"/>
  <c r="F534" i="12"/>
  <c r="H534" i="12" s="1"/>
  <c r="K534" i="12" s="1"/>
  <c r="F533" i="12"/>
  <c r="H533" i="12" s="1"/>
  <c r="K533" i="12" s="1"/>
  <c r="F528" i="12"/>
  <c r="H528" i="12" s="1"/>
  <c r="H532" i="12" s="1"/>
  <c r="F523" i="12"/>
  <c r="H523" i="12" s="1"/>
  <c r="H527" i="12" s="1"/>
  <c r="F520" i="12"/>
  <c r="H520" i="12" s="1"/>
  <c r="K520" i="12" s="1"/>
  <c r="F519" i="12"/>
  <c r="H519" i="12" s="1"/>
  <c r="K519" i="12" s="1"/>
  <c r="F514" i="12"/>
  <c r="H514" i="12" s="1"/>
  <c r="H515" i="12" s="1"/>
  <c r="H516" i="12" s="1"/>
  <c r="F511" i="12"/>
  <c r="H511" i="12" s="1"/>
  <c r="K511" i="12" s="1"/>
  <c r="F510" i="12"/>
  <c r="H510" i="12" s="1"/>
  <c r="K510" i="12" s="1"/>
  <c r="F505" i="12"/>
  <c r="H505" i="12" s="1"/>
  <c r="H509" i="12" s="1"/>
  <c r="F502" i="12"/>
  <c r="F497" i="12"/>
  <c r="H497" i="12" s="1"/>
  <c r="F492" i="12"/>
  <c r="F489" i="12"/>
  <c r="H489" i="12" s="1"/>
  <c r="K489" i="12" s="1"/>
  <c r="F484" i="12"/>
  <c r="H484" i="12" s="1"/>
  <c r="H487" i="12" s="1"/>
  <c r="F479" i="12"/>
  <c r="H479" i="12" s="1"/>
  <c r="H483" i="12" s="1"/>
  <c r="F476" i="12"/>
  <c r="H476" i="12" s="1"/>
  <c r="K476" i="12" s="1"/>
  <c r="F471" i="12"/>
  <c r="H471" i="12" s="1"/>
  <c r="F466" i="12"/>
  <c r="H466" i="12" s="1"/>
  <c r="H469" i="12" s="1"/>
  <c r="F1252" i="12"/>
  <c r="H1251" i="12"/>
  <c r="F1250" i="12"/>
  <c r="F1249" i="12"/>
  <c r="F1244" i="12"/>
  <c r="F1124" i="12"/>
  <c r="F1123" i="12"/>
  <c r="F1122" i="12"/>
  <c r="F1117" i="12"/>
  <c r="F1114" i="12"/>
  <c r="F1113" i="12"/>
  <c r="F1108" i="12"/>
  <c r="F1103" i="12"/>
  <c r="F1100" i="12"/>
  <c r="F1099" i="12"/>
  <c r="F1094" i="12"/>
  <c r="F1082" i="12"/>
  <c r="F1077" i="12"/>
  <c r="F1072" i="12"/>
  <c r="F462" i="12"/>
  <c r="F461" i="12"/>
  <c r="H461" i="12" s="1"/>
  <c r="K461" i="12" s="1"/>
  <c r="F460" i="12"/>
  <c r="F455" i="12"/>
  <c r="F452" i="12"/>
  <c r="H452" i="12" s="1"/>
  <c r="K452" i="12" s="1"/>
  <c r="F451" i="12"/>
  <c r="H451" i="12" s="1"/>
  <c r="K451" i="12" s="1"/>
  <c r="F450" i="12"/>
  <c r="H450" i="12" s="1"/>
  <c r="K450" i="12" s="1"/>
  <c r="F445" i="12"/>
  <c r="H445" i="12" s="1"/>
  <c r="H448" i="12" s="1"/>
  <c r="F442" i="12"/>
  <c r="F441" i="12"/>
  <c r="H441" i="12" s="1"/>
  <c r="K441" i="12" s="1"/>
  <c r="F440" i="12"/>
  <c r="F439" i="12"/>
  <c r="H439" i="12" s="1"/>
  <c r="K439" i="12" s="1"/>
  <c r="H438" i="12"/>
  <c r="F437" i="12"/>
  <c r="H437" i="12" s="1"/>
  <c r="K437" i="12" s="1"/>
  <c r="F436" i="12"/>
  <c r="H436" i="12" s="1"/>
  <c r="K436" i="12" s="1"/>
  <c r="F431" i="12"/>
  <c r="H431" i="12" s="1"/>
  <c r="H434" i="12" s="1"/>
  <c r="F428" i="12"/>
  <c r="H428" i="12" s="1"/>
  <c r="K428" i="12" s="1"/>
  <c r="F423" i="12"/>
  <c r="H423" i="12" s="1"/>
  <c r="F418" i="12"/>
  <c r="H418" i="12" s="1"/>
  <c r="F415" i="12"/>
  <c r="H415" i="12" s="1"/>
  <c r="K415" i="12" s="1"/>
  <c r="H414" i="12"/>
  <c r="F413" i="12"/>
  <c r="F412" i="12"/>
  <c r="H412" i="12" s="1"/>
  <c r="K412" i="12" s="1"/>
  <c r="F407" i="12"/>
  <c r="H407" i="12" s="1"/>
  <c r="F404" i="12"/>
  <c r="H404" i="12" s="1"/>
  <c r="K404" i="12" s="1"/>
  <c r="F403" i="12"/>
  <c r="H403" i="12" s="1"/>
  <c r="K403" i="12" s="1"/>
  <c r="H402" i="12"/>
  <c r="F401" i="12"/>
  <c r="H401" i="12" s="1"/>
  <c r="K401" i="12" s="1"/>
  <c r="F400" i="12"/>
  <c r="F395" i="12"/>
  <c r="F394" i="12"/>
  <c r="H394" i="12" s="1"/>
  <c r="F391" i="12"/>
  <c r="H391" i="12" s="1"/>
  <c r="K391" i="12" s="1"/>
  <c r="F390" i="12"/>
  <c r="H390" i="12" s="1"/>
  <c r="K390" i="12" s="1"/>
  <c r="H389" i="12"/>
  <c r="F388" i="12"/>
  <c r="H388" i="12" s="1"/>
  <c r="K388" i="12" s="1"/>
  <c r="F387" i="12"/>
  <c r="F382" i="12"/>
  <c r="F381" i="12"/>
  <c r="H381" i="12" s="1"/>
  <c r="F378" i="12"/>
  <c r="H378" i="12" s="1"/>
  <c r="K378" i="12" s="1"/>
  <c r="H377" i="12"/>
  <c r="F376" i="12"/>
  <c r="H376" i="12" s="1"/>
  <c r="K376" i="12" s="1"/>
  <c r="F375" i="12"/>
  <c r="H375" i="12" s="1"/>
  <c r="K375" i="12" s="1"/>
  <c r="F370" i="12"/>
  <c r="F365" i="12"/>
  <c r="H365" i="12" s="1"/>
  <c r="F362" i="12"/>
  <c r="H361" i="12"/>
  <c r="F360" i="12"/>
  <c r="H360" i="12" s="1"/>
  <c r="K360" i="12" s="1"/>
  <c r="F359" i="12"/>
  <c r="H359" i="12" s="1"/>
  <c r="K359" i="12" s="1"/>
  <c r="F354" i="12"/>
  <c r="H354" i="12" s="1"/>
  <c r="F349" i="12"/>
  <c r="H349" i="12" s="1"/>
  <c r="K349" i="12" s="1"/>
  <c r="F346" i="12"/>
  <c r="F345" i="12"/>
  <c r="F344" i="12"/>
  <c r="H344" i="12" s="1"/>
  <c r="K344" i="12" s="1"/>
  <c r="F339" i="12"/>
  <c r="F336" i="12"/>
  <c r="H336" i="12" s="1"/>
  <c r="K336" i="12" s="1"/>
  <c r="F335" i="12"/>
  <c r="H335" i="12" s="1"/>
  <c r="K335" i="12" s="1"/>
  <c r="F334" i="12"/>
  <c r="H334" i="12" s="1"/>
  <c r="K334" i="12" s="1"/>
  <c r="F329" i="12"/>
  <c r="H329" i="12" s="1"/>
  <c r="H333" i="12" s="1"/>
  <c r="F326" i="12"/>
  <c r="F325" i="12"/>
  <c r="H324" i="12"/>
  <c r="F323" i="12"/>
  <c r="H323" i="12" s="1"/>
  <c r="K323" i="12" s="1"/>
  <c r="F322" i="12"/>
  <c r="H322" i="12" s="1"/>
  <c r="K322" i="12" s="1"/>
  <c r="F317" i="12"/>
  <c r="H317" i="12" s="1"/>
  <c r="H321" i="12" s="1"/>
  <c r="F312" i="12"/>
  <c r="H312" i="12" s="1"/>
  <c r="H316" i="12" s="1"/>
  <c r="H309" i="12"/>
  <c r="K309" i="12" s="1"/>
  <c r="F308" i="12"/>
  <c r="H307" i="12"/>
  <c r="F306" i="12"/>
  <c r="H306" i="12" s="1"/>
  <c r="K306" i="12" s="1"/>
  <c r="F305" i="12"/>
  <c r="H305" i="12" s="1"/>
  <c r="K305" i="12" s="1"/>
  <c r="F300" i="12"/>
  <c r="F295" i="12"/>
  <c r="F292" i="12"/>
  <c r="H292" i="12" s="1"/>
  <c r="K292" i="12" s="1"/>
  <c r="F291" i="12"/>
  <c r="H291" i="12" s="1"/>
  <c r="K291" i="12" s="1"/>
  <c r="F290" i="12"/>
  <c r="H290" i="12" s="1"/>
  <c r="K290" i="12" s="1"/>
  <c r="F285" i="12"/>
  <c r="H285" i="12" s="1"/>
  <c r="H289" i="12" s="1"/>
  <c r="F280" i="12"/>
  <c r="H280" i="12" s="1"/>
  <c r="F277" i="12"/>
  <c r="H277" i="12" s="1"/>
  <c r="K277" i="12" s="1"/>
  <c r="F276" i="12"/>
  <c r="H276" i="12" s="1"/>
  <c r="K276" i="12" s="1"/>
  <c r="F275" i="12"/>
  <c r="F270" i="12"/>
  <c r="H270" i="12" s="1"/>
  <c r="F267" i="12"/>
  <c r="H267" i="12" s="1"/>
  <c r="K267" i="12" s="1"/>
  <c r="F266" i="12"/>
  <c r="F265" i="12"/>
  <c r="H265" i="12" s="1"/>
  <c r="K265" i="12" s="1"/>
  <c r="F260" i="12"/>
  <c r="H260" i="12" s="1"/>
  <c r="H261" i="12" s="1"/>
  <c r="H262" i="12" s="1"/>
  <c r="F255" i="12"/>
  <c r="H255" i="12" s="1"/>
  <c r="K255" i="12" s="1"/>
  <c r="F252" i="12"/>
  <c r="H252" i="12" s="1"/>
  <c r="K252" i="12" s="1"/>
  <c r="F251" i="12"/>
  <c r="H251" i="12" s="1"/>
  <c r="K251" i="12" s="1"/>
  <c r="F250" i="12"/>
  <c r="H250" i="12" s="1"/>
  <c r="K250" i="12" s="1"/>
  <c r="F245" i="12"/>
  <c r="H245" i="12" s="1"/>
  <c r="K245" i="12" s="1"/>
  <c r="F240" i="12"/>
  <c r="F237" i="12"/>
  <c r="H237" i="12" s="1"/>
  <c r="K237" i="12" s="1"/>
  <c r="F236" i="12"/>
  <c r="H236" i="12" s="1"/>
  <c r="K236" i="12" s="1"/>
  <c r="F235" i="12"/>
  <c r="H235" i="12" s="1"/>
  <c r="K235" i="12" s="1"/>
  <c r="F230" i="12"/>
  <c r="H230" i="12" s="1"/>
  <c r="H233" i="12" s="1"/>
  <c r="F227" i="12"/>
  <c r="F226" i="12"/>
  <c r="H226" i="12" s="1"/>
  <c r="K226" i="12" s="1"/>
  <c r="F225" i="12"/>
  <c r="F220" i="12"/>
  <c r="F215" i="12"/>
  <c r="F212" i="12"/>
  <c r="F211" i="12"/>
  <c r="H211" i="12" s="1"/>
  <c r="K211" i="12" s="1"/>
  <c r="F210" i="12"/>
  <c r="H210" i="12" s="1"/>
  <c r="K210" i="12" s="1"/>
  <c r="F205" i="12"/>
  <c r="H205" i="12" s="1"/>
  <c r="F202" i="12"/>
  <c r="H202" i="12" s="1"/>
  <c r="K202" i="12" s="1"/>
  <c r="F201" i="12"/>
  <c r="H201" i="12" s="1"/>
  <c r="K201" i="12" s="1"/>
  <c r="F200" i="12"/>
  <c r="H200" i="12" s="1"/>
  <c r="K200" i="12" s="1"/>
  <c r="F195" i="12"/>
  <c r="H195" i="12" s="1"/>
  <c r="H199" i="12" s="1"/>
  <c r="F190" i="12"/>
  <c r="H190" i="12" s="1"/>
  <c r="F187" i="12"/>
  <c r="H187" i="12" s="1"/>
  <c r="K187" i="12" s="1"/>
  <c r="F186" i="12"/>
  <c r="H186" i="12" s="1"/>
  <c r="K186" i="12" s="1"/>
  <c r="F181" i="12"/>
  <c r="H181" i="12" s="1"/>
  <c r="H184" i="12" s="1"/>
  <c r="F178" i="12"/>
  <c r="H178" i="12" s="1"/>
  <c r="K178" i="12" s="1"/>
  <c r="F173" i="12"/>
  <c r="H173" i="12" s="1"/>
  <c r="H176" i="12" s="1"/>
  <c r="F168" i="12"/>
  <c r="H168" i="12" s="1"/>
  <c r="F165" i="12"/>
  <c r="F160" i="12"/>
  <c r="F155" i="12"/>
  <c r="H155" i="12" s="1"/>
  <c r="H156" i="12" s="1"/>
  <c r="H157" i="12" s="1"/>
  <c r="H150" i="12"/>
  <c r="F151" i="12"/>
  <c r="H151" i="12" s="1"/>
  <c r="K151" i="12" s="1"/>
  <c r="F149" i="12"/>
  <c r="H149" i="12" s="1"/>
  <c r="K149" i="12" s="1"/>
  <c r="F148" i="12"/>
  <c r="H148" i="12" s="1"/>
  <c r="K148" i="12" s="1"/>
  <c r="F143" i="12"/>
  <c r="H143" i="12" s="1"/>
  <c r="H146" i="12" s="1"/>
  <c r="K1293" i="12" l="1"/>
  <c r="H1298" i="12"/>
  <c r="K1298" i="12" s="1"/>
  <c r="H1297" i="12"/>
  <c r="H1296" i="12"/>
  <c r="H1281" i="12"/>
  <c r="K1278" i="12"/>
  <c r="H1282" i="12"/>
  <c r="H651" i="12"/>
  <c r="H1268" i="12"/>
  <c r="H1273" i="12"/>
  <c r="K1273" i="12" s="1"/>
  <c r="H1274" i="12"/>
  <c r="K1274" i="12" s="1"/>
  <c r="H1275" i="12"/>
  <c r="K1275" i="12" s="1"/>
  <c r="H1288" i="12"/>
  <c r="K1288" i="12" s="1"/>
  <c r="H1289" i="12"/>
  <c r="K1289" i="12" s="1"/>
  <c r="H1279" i="12"/>
  <c r="H1280" i="12" s="1"/>
  <c r="K523" i="12"/>
  <c r="H655" i="12"/>
  <c r="H656" i="12"/>
  <c r="K652" i="12"/>
  <c r="H744" i="12"/>
  <c r="K741" i="12"/>
  <c r="H745" i="12"/>
  <c r="H905" i="12"/>
  <c r="K902" i="12"/>
  <c r="K505" i="12"/>
  <c r="K723" i="12"/>
  <c r="K942" i="12"/>
  <c r="K1222" i="12"/>
  <c r="H1226" i="12"/>
  <c r="H1223" i="12"/>
  <c r="H1224" i="12" s="1"/>
  <c r="H885" i="12"/>
  <c r="H886" i="12"/>
  <c r="K882" i="12"/>
  <c r="H1016" i="12"/>
  <c r="H1017" i="12"/>
  <c r="K1013" i="12"/>
  <c r="H635" i="12"/>
  <c r="H636" i="12"/>
  <c r="K632" i="12"/>
  <c r="K862" i="12"/>
  <c r="H865" i="12"/>
  <c r="H940" i="12"/>
  <c r="K937" i="12"/>
  <c r="H941" i="12"/>
  <c r="H990" i="12"/>
  <c r="H991" i="12"/>
  <c r="K987" i="12"/>
  <c r="K466" i="12"/>
  <c r="K484" i="12"/>
  <c r="K672" i="12"/>
  <c r="K677" i="12"/>
  <c r="K697" i="12"/>
  <c r="H727" i="12"/>
  <c r="H906" i="12"/>
  <c r="K922" i="12"/>
  <c r="H946" i="12"/>
  <c r="K962" i="12"/>
  <c r="K967" i="12"/>
  <c r="K1031" i="12"/>
  <c r="H488" i="12"/>
  <c r="H676" i="12"/>
  <c r="H681" i="12"/>
  <c r="H701" i="12"/>
  <c r="H966" i="12"/>
  <c r="H971" i="12"/>
  <c r="H1035" i="12"/>
  <c r="H772" i="12"/>
  <c r="H770" i="12"/>
  <c r="H771" i="12" s="1"/>
  <c r="H773" i="12"/>
  <c r="K769" i="12"/>
  <c r="H786" i="12"/>
  <c r="K782" i="12"/>
  <c r="H785" i="12"/>
  <c r="H783" i="12"/>
  <c r="H784" i="12" s="1"/>
  <c r="H791" i="12"/>
  <c r="K787" i="12"/>
  <c r="H790" i="12"/>
  <c r="H788" i="12"/>
  <c r="H789" i="12" s="1"/>
  <c r="H808" i="12"/>
  <c r="K804" i="12"/>
  <c r="H807" i="12"/>
  <c r="H805" i="12"/>
  <c r="H806" i="12" s="1"/>
  <c r="H912" i="12"/>
  <c r="H918" i="12"/>
  <c r="K918" i="12" s="1"/>
  <c r="H1026" i="12"/>
  <c r="K1026" i="12" s="1"/>
  <c r="K756" i="12"/>
  <c r="H761" i="12"/>
  <c r="H766" i="12"/>
  <c r="K766" i="12" s="1"/>
  <c r="K774" i="12"/>
  <c r="H778" i="12"/>
  <c r="K795" i="12"/>
  <c r="H799" i="12"/>
  <c r="K813" i="12"/>
  <c r="H817" i="12"/>
  <c r="K818" i="12"/>
  <c r="H822" i="12"/>
  <c r="H830" i="12"/>
  <c r="H828" i="12"/>
  <c r="H829" i="12" s="1"/>
  <c r="H837" i="12"/>
  <c r="H845" i="12"/>
  <c r="H843" i="12"/>
  <c r="H844" i="12" s="1"/>
  <c r="H852" i="12"/>
  <c r="H858" i="12"/>
  <c r="K858" i="12" s="1"/>
  <c r="H866" i="12"/>
  <c r="H863" i="12"/>
  <c r="H864" i="12" s="1"/>
  <c r="H870" i="12"/>
  <c r="H872" i="12"/>
  <c r="K872" i="12" s="1"/>
  <c r="H892" i="12"/>
  <c r="H919" i="12"/>
  <c r="K919" i="12" s="1"/>
  <c r="H952" i="12"/>
  <c r="H958" i="12"/>
  <c r="K958" i="12" s="1"/>
  <c r="H982" i="12"/>
  <c r="K982" i="12" s="1"/>
  <c r="H1002" i="12"/>
  <c r="K1002" i="12" s="1"/>
  <c r="H1021" i="12"/>
  <c r="H1027" i="12"/>
  <c r="K1027" i="12" s="1"/>
  <c r="H1041" i="12"/>
  <c r="K1041" i="12" s="1"/>
  <c r="H759" i="12"/>
  <c r="H957" i="12"/>
  <c r="K957" i="12" s="1"/>
  <c r="K842" i="12"/>
  <c r="H930" i="12"/>
  <c r="H928" i="12"/>
  <c r="H929" i="12" s="1"/>
  <c r="H931" i="12"/>
  <c r="K927" i="12"/>
  <c r="H959" i="12"/>
  <c r="K959" i="12" s="1"/>
  <c r="H977" i="12"/>
  <c r="H983" i="12"/>
  <c r="K983" i="12" s="1"/>
  <c r="H997" i="12"/>
  <c r="H1003" i="12"/>
  <c r="K1003" i="12" s="1"/>
  <c r="H1008" i="12"/>
  <c r="H1028" i="12"/>
  <c r="K1028" i="12" s="1"/>
  <c r="H1042" i="12"/>
  <c r="K1042" i="12" s="1"/>
  <c r="H871" i="12"/>
  <c r="K867" i="12"/>
  <c r="H880" i="12"/>
  <c r="H878" i="12"/>
  <c r="H879" i="12" s="1"/>
  <c r="H760" i="12"/>
  <c r="K827" i="12"/>
  <c r="H775" i="12"/>
  <c r="H776" i="12" s="1"/>
  <c r="H796" i="12"/>
  <c r="H797" i="12" s="1"/>
  <c r="H814" i="12"/>
  <c r="H815" i="12" s="1"/>
  <c r="H819" i="12"/>
  <c r="H820" i="12" s="1"/>
  <c r="H881" i="12"/>
  <c r="H917" i="12"/>
  <c r="K917" i="12" s="1"/>
  <c r="H984" i="12"/>
  <c r="K984" i="12" s="1"/>
  <c r="H926" i="12"/>
  <c r="H938" i="12"/>
  <c r="H939" i="12" s="1"/>
  <c r="H883" i="12"/>
  <c r="H884" i="12" s="1"/>
  <c r="H903" i="12"/>
  <c r="H904" i="12" s="1"/>
  <c r="H923" i="12"/>
  <c r="H924" i="12" s="1"/>
  <c r="H943" i="12"/>
  <c r="H944" i="12" s="1"/>
  <c r="H963" i="12"/>
  <c r="H964" i="12" s="1"/>
  <c r="H968" i="12"/>
  <c r="H969" i="12" s="1"/>
  <c r="H988" i="12"/>
  <c r="H989" i="12" s="1"/>
  <c r="H1014" i="12"/>
  <c r="H1015" i="12" s="1"/>
  <c r="H1032" i="12"/>
  <c r="H1033" i="12" s="1"/>
  <c r="H557" i="12"/>
  <c r="K557" i="12" s="1"/>
  <c r="H565" i="12"/>
  <c r="H563" i="12"/>
  <c r="H564" i="12" s="1"/>
  <c r="H566" i="12"/>
  <c r="K562" i="12"/>
  <c r="H474" i="12"/>
  <c r="H472" i="12"/>
  <c r="H473" i="12" s="1"/>
  <c r="H475" i="12"/>
  <c r="K471" i="12"/>
  <c r="H502" i="12"/>
  <c r="K502" i="12" s="1"/>
  <c r="H543" i="12"/>
  <c r="K543" i="12" s="1"/>
  <c r="H537" i="12"/>
  <c r="H492" i="12"/>
  <c r="H501" i="12"/>
  <c r="K497" i="12"/>
  <c r="H498" i="12"/>
  <c r="H499" i="12" s="1"/>
  <c r="H500" i="12"/>
  <c r="H518" i="12"/>
  <c r="K514" i="12"/>
  <c r="H517" i="12"/>
  <c r="K479" i="12"/>
  <c r="H482" i="12"/>
  <c r="H480" i="12"/>
  <c r="H481" i="12" s="1"/>
  <c r="H556" i="12"/>
  <c r="K552" i="12"/>
  <c r="H553" i="12"/>
  <c r="H554" i="12" s="1"/>
  <c r="H555" i="12"/>
  <c r="H575" i="12"/>
  <c r="K572" i="12"/>
  <c r="H580" i="12"/>
  <c r="H578" i="12"/>
  <c r="H579" i="12" s="1"/>
  <c r="H591" i="12"/>
  <c r="K587" i="12"/>
  <c r="H470" i="12"/>
  <c r="H531" i="12"/>
  <c r="H529" i="12"/>
  <c r="H530" i="12" s="1"/>
  <c r="H551" i="12"/>
  <c r="H548" i="12"/>
  <c r="H549" i="12" s="1"/>
  <c r="H576" i="12"/>
  <c r="K577" i="12"/>
  <c r="H590" i="12"/>
  <c r="H592" i="12"/>
  <c r="H598" i="12"/>
  <c r="K598" i="12" s="1"/>
  <c r="H605" i="12"/>
  <c r="H603" i="12"/>
  <c r="H604" i="12" s="1"/>
  <c r="H640" i="12"/>
  <c r="H638" i="12"/>
  <c r="H639" i="12" s="1"/>
  <c r="H738" i="12"/>
  <c r="K738" i="12" s="1"/>
  <c r="H751" i="12"/>
  <c r="K751" i="12" s="1"/>
  <c r="H623" i="12"/>
  <c r="H624" i="12" s="1"/>
  <c r="H626" i="12"/>
  <c r="H691" i="12"/>
  <c r="K687" i="12"/>
  <c r="H711" i="12"/>
  <c r="K707" i="12"/>
  <c r="H721" i="12"/>
  <c r="K718" i="12"/>
  <c r="H731" i="12"/>
  <c r="H737" i="12"/>
  <c r="K737" i="12" s="1"/>
  <c r="H612" i="12"/>
  <c r="H618" i="12"/>
  <c r="K618" i="12" s="1"/>
  <c r="K622" i="12"/>
  <c r="K647" i="12"/>
  <c r="H650" i="12"/>
  <c r="H467" i="12"/>
  <c r="H468" i="12" s="1"/>
  <c r="H485" i="12"/>
  <c r="H486" i="12" s="1"/>
  <c r="H508" i="12"/>
  <c r="H506" i="12"/>
  <c r="H507" i="12" s="1"/>
  <c r="K528" i="12"/>
  <c r="K547" i="12"/>
  <c r="H573" i="12"/>
  <c r="H574" i="12" s="1"/>
  <c r="H588" i="12"/>
  <c r="H589" i="12" s="1"/>
  <c r="K602" i="12"/>
  <c r="H627" i="12"/>
  <c r="K627" i="12" s="1"/>
  <c r="H629" i="12"/>
  <c r="K629" i="12" s="1"/>
  <c r="K637" i="12"/>
  <c r="H662" i="12"/>
  <c r="H667" i="12"/>
  <c r="K667" i="12" s="1"/>
  <c r="H669" i="12"/>
  <c r="K669" i="12" s="1"/>
  <c r="H688" i="12"/>
  <c r="H689" i="12" s="1"/>
  <c r="H693" i="12"/>
  <c r="K693" i="12" s="1"/>
  <c r="H708" i="12"/>
  <c r="H709" i="12" s="1"/>
  <c r="H713" i="12"/>
  <c r="K713" i="12" s="1"/>
  <c r="H719" i="12"/>
  <c r="H720" i="12" s="1"/>
  <c r="H752" i="12"/>
  <c r="K752" i="12" s="1"/>
  <c r="H526" i="12"/>
  <c r="H524" i="12"/>
  <c r="H525" i="12" s="1"/>
  <c r="H581" i="12"/>
  <c r="H625" i="12"/>
  <c r="H736" i="12"/>
  <c r="K736" i="12" s="1"/>
  <c r="H633" i="12"/>
  <c r="H634" i="12" s="1"/>
  <c r="H653" i="12"/>
  <c r="H654" i="12" s="1"/>
  <c r="H673" i="12"/>
  <c r="H674" i="12" s="1"/>
  <c r="H678" i="12"/>
  <c r="H679" i="12" s="1"/>
  <c r="H698" i="12"/>
  <c r="H699" i="12" s="1"/>
  <c r="H724" i="12"/>
  <c r="H725" i="12" s="1"/>
  <c r="H742" i="12"/>
  <c r="H743" i="12" s="1"/>
  <c r="H1311" i="12"/>
  <c r="H1312" i="12"/>
  <c r="K1312" i="12" s="1"/>
  <c r="K329" i="12"/>
  <c r="K270" i="12"/>
  <c r="H274" i="12"/>
  <c r="K354" i="12"/>
  <c r="H358" i="12"/>
  <c r="H263" i="12"/>
  <c r="K431" i="12"/>
  <c r="K445" i="12"/>
  <c r="H435" i="12"/>
  <c r="H449" i="12"/>
  <c r="H171" i="12"/>
  <c r="H169" i="12"/>
  <c r="H170" i="12" s="1"/>
  <c r="H172" i="12"/>
  <c r="K168" i="12"/>
  <c r="H193" i="12"/>
  <c r="K190" i="12"/>
  <c r="H194" i="12"/>
  <c r="H191" i="12"/>
  <c r="H192" i="12" s="1"/>
  <c r="H209" i="12"/>
  <c r="K205" i="12"/>
  <c r="H208" i="12"/>
  <c r="H206" i="12"/>
  <c r="H207" i="12" s="1"/>
  <c r="K381" i="12"/>
  <c r="H362" i="12"/>
  <c r="K362" i="12" s="1"/>
  <c r="H366" i="12"/>
  <c r="H367" i="12" s="1"/>
  <c r="H369" i="12"/>
  <c r="H368" i="12"/>
  <c r="H160" i="12"/>
  <c r="H165" i="12"/>
  <c r="K165" i="12" s="1"/>
  <c r="H185" i="12"/>
  <c r="H225" i="12"/>
  <c r="K225" i="12" s="1"/>
  <c r="K230" i="12"/>
  <c r="H234" i="12"/>
  <c r="H275" i="12"/>
  <c r="K275" i="12" s="1"/>
  <c r="H283" i="12"/>
  <c r="H281" i="12"/>
  <c r="H282" i="12" s="1"/>
  <c r="H284" i="12"/>
  <c r="H400" i="12"/>
  <c r="K400" i="12" s="1"/>
  <c r="H411" i="12"/>
  <c r="K407" i="12"/>
  <c r="H408" i="12"/>
  <c r="H409" i="12" s="1"/>
  <c r="H410" i="12"/>
  <c r="H413" i="12"/>
  <c r="K413" i="12" s="1"/>
  <c r="H455" i="12"/>
  <c r="H198" i="12"/>
  <c r="H196" i="12"/>
  <c r="H197" i="12" s="1"/>
  <c r="H240" i="12"/>
  <c r="K280" i="12"/>
  <c r="H288" i="12"/>
  <c r="H286" i="12"/>
  <c r="H287" i="12" s="1"/>
  <c r="K285" i="12"/>
  <c r="H300" i="12"/>
  <c r="H387" i="12"/>
  <c r="K387" i="12" s="1"/>
  <c r="K394" i="12"/>
  <c r="H427" i="12"/>
  <c r="K423" i="12"/>
  <c r="H424" i="12"/>
  <c r="H425" i="12" s="1"/>
  <c r="H426" i="12"/>
  <c r="H442" i="12"/>
  <c r="K442" i="12" s="1"/>
  <c r="H462" i="12"/>
  <c r="K462" i="12" s="1"/>
  <c r="H158" i="12"/>
  <c r="K155" i="12"/>
  <c r="K173" i="12"/>
  <c r="H177" i="12"/>
  <c r="K181" i="12"/>
  <c r="H212" i="12"/>
  <c r="K212" i="12" s="1"/>
  <c r="H248" i="12"/>
  <c r="H246" i="12"/>
  <c r="H247" i="12" s="1"/>
  <c r="H249" i="12"/>
  <c r="H259" i="12"/>
  <c r="H266" i="12"/>
  <c r="K266" i="12" s="1"/>
  <c r="H273" i="12"/>
  <c r="H271" i="12"/>
  <c r="H272" i="12" s="1"/>
  <c r="H295" i="12"/>
  <c r="H308" i="12"/>
  <c r="K308" i="12" s="1"/>
  <c r="H325" i="12"/>
  <c r="K325" i="12" s="1"/>
  <c r="H339" i="12"/>
  <c r="H345" i="12"/>
  <c r="K345" i="12" s="1"/>
  <c r="K365" i="12"/>
  <c r="H370" i="12"/>
  <c r="H159" i="12"/>
  <c r="H220" i="12"/>
  <c r="H174" i="12"/>
  <c r="H175" i="12" s="1"/>
  <c r="H182" i="12"/>
  <c r="H183" i="12" s="1"/>
  <c r="K195" i="12"/>
  <c r="H215" i="12"/>
  <c r="H227" i="12"/>
  <c r="K227" i="12" s="1"/>
  <c r="H231" i="12"/>
  <c r="H232" i="12" s="1"/>
  <c r="H256" i="12"/>
  <c r="H257" i="12" s="1"/>
  <c r="H258" i="12"/>
  <c r="H264" i="12"/>
  <c r="K260" i="12"/>
  <c r="K312" i="12"/>
  <c r="H315" i="12"/>
  <c r="H313" i="12"/>
  <c r="H314" i="12" s="1"/>
  <c r="H320" i="12"/>
  <c r="H318" i="12"/>
  <c r="H319" i="12" s="1"/>
  <c r="K317" i="12"/>
  <c r="H326" i="12"/>
  <c r="K326" i="12" s="1"/>
  <c r="H332" i="12"/>
  <c r="H330" i="12"/>
  <c r="H331" i="12" s="1"/>
  <c r="H346" i="12"/>
  <c r="K346" i="12" s="1"/>
  <c r="H352" i="12"/>
  <c r="H350" i="12"/>
  <c r="H351" i="12" s="1"/>
  <c r="H353" i="12"/>
  <c r="H382" i="12"/>
  <c r="K382" i="12" s="1"/>
  <c r="H395" i="12"/>
  <c r="H422" i="12"/>
  <c r="K418" i="12"/>
  <c r="H421" i="12"/>
  <c r="H419" i="12"/>
  <c r="H420" i="12" s="1"/>
  <c r="H440" i="12"/>
  <c r="K440" i="12" s="1"/>
  <c r="H460" i="12"/>
  <c r="K460" i="12" s="1"/>
  <c r="H357" i="12"/>
  <c r="H355" i="12"/>
  <c r="H356" i="12" s="1"/>
  <c r="H432" i="12"/>
  <c r="H433" i="12" s="1"/>
  <c r="H446" i="12"/>
  <c r="H447" i="12" s="1"/>
  <c r="H1170" i="12"/>
  <c r="H1168" i="12"/>
  <c r="H1169" i="12" s="1"/>
  <c r="K1172" i="12"/>
  <c r="H1176" i="12"/>
  <c r="K1167" i="12"/>
  <c r="H1173" i="12"/>
  <c r="H1174" i="12" s="1"/>
  <c r="H1130" i="12"/>
  <c r="H1128" i="12"/>
  <c r="H1129" i="12" s="1"/>
  <c r="K1127" i="12"/>
  <c r="K1132" i="12"/>
  <c r="H1136" i="12"/>
  <c r="H1133" i="12"/>
  <c r="H1134" i="12" s="1"/>
  <c r="K143" i="12"/>
  <c r="H147" i="12"/>
  <c r="H144" i="12"/>
  <c r="H145" i="12" s="1"/>
  <c r="H79" i="12"/>
  <c r="K79" i="12" s="1"/>
  <c r="H59" i="12"/>
  <c r="K59" i="12" s="1"/>
  <c r="H58" i="12"/>
  <c r="K58" i="12" s="1"/>
  <c r="H1374" i="12"/>
  <c r="K1374" i="12" s="1"/>
  <c r="H1375" i="12"/>
  <c r="K1375" i="12" s="1"/>
  <c r="H1323" i="12"/>
  <c r="K1323" i="12" s="1"/>
  <c r="H1329" i="12"/>
  <c r="K1329" i="12" s="1"/>
  <c r="L1331" i="12" s="1"/>
  <c r="E27" i="13" s="1"/>
  <c r="H1320" i="12"/>
  <c r="K1320" i="12" s="1"/>
  <c r="H1319" i="12"/>
  <c r="K1319" i="12" s="1"/>
  <c r="H1318" i="12"/>
  <c r="K1318" i="12" s="1"/>
  <c r="H1317" i="12"/>
  <c r="K1317" i="12" s="1"/>
  <c r="H1308" i="12"/>
  <c r="K1308" i="12" s="1"/>
  <c r="H1307" i="12"/>
  <c r="K1307" i="12" s="1"/>
  <c r="H1306" i="12"/>
  <c r="K1306" i="12" s="1"/>
  <c r="H1301" i="12"/>
  <c r="H1305" i="12" s="1"/>
  <c r="H1271" i="12" l="1"/>
  <c r="H1269" i="12"/>
  <c r="H1270" i="12" s="1"/>
  <c r="H1272" i="12"/>
  <c r="K1268" i="12"/>
  <c r="H916" i="12"/>
  <c r="K912" i="12"/>
  <c r="H913" i="12"/>
  <c r="H914" i="12" s="1"/>
  <c r="H915" i="12"/>
  <c r="H896" i="12"/>
  <c r="K892" i="12"/>
  <c r="H893" i="12"/>
  <c r="H894" i="12" s="1"/>
  <c r="H895" i="12"/>
  <c r="H1011" i="12"/>
  <c r="K1008" i="12"/>
  <c r="H1012" i="12"/>
  <c r="H1009" i="12"/>
  <c r="H1010" i="12" s="1"/>
  <c r="H1001" i="12"/>
  <c r="K997" i="12"/>
  <c r="H1000" i="12"/>
  <c r="H998" i="12"/>
  <c r="H999" i="12" s="1"/>
  <c r="H981" i="12"/>
  <c r="K977" i="12"/>
  <c r="H980" i="12"/>
  <c r="H978" i="12"/>
  <c r="H979" i="12" s="1"/>
  <c r="H840" i="12"/>
  <c r="K837" i="12"/>
  <c r="H838" i="12"/>
  <c r="H839" i="12" s="1"/>
  <c r="H841" i="12"/>
  <c r="H765" i="12"/>
  <c r="K761" i="12"/>
  <c r="H762" i="12"/>
  <c r="H763" i="12" s="1"/>
  <c r="H764" i="12"/>
  <c r="H1025" i="12"/>
  <c r="K1021" i="12"/>
  <c r="H1022" i="12"/>
  <c r="H1023" i="12" s="1"/>
  <c r="H1024" i="12"/>
  <c r="H956" i="12"/>
  <c r="K952" i="12"/>
  <c r="H953" i="12"/>
  <c r="H954" i="12" s="1"/>
  <c r="H955" i="12"/>
  <c r="H856" i="12"/>
  <c r="K852" i="12"/>
  <c r="H853" i="12"/>
  <c r="H854" i="12" s="1"/>
  <c r="H855" i="12"/>
  <c r="H735" i="12"/>
  <c r="K731" i="12"/>
  <c r="H732" i="12"/>
  <c r="H733" i="12" s="1"/>
  <c r="H734" i="12"/>
  <c r="H541" i="12"/>
  <c r="K537" i="12"/>
  <c r="H538" i="12"/>
  <c r="H539" i="12" s="1"/>
  <c r="H540" i="12"/>
  <c r="H666" i="12"/>
  <c r="K662" i="12"/>
  <c r="H665" i="12"/>
  <c r="H663" i="12"/>
  <c r="H664" i="12" s="1"/>
  <c r="H616" i="12"/>
  <c r="K612" i="12"/>
  <c r="H613" i="12"/>
  <c r="H614" i="12" s="1"/>
  <c r="H615" i="12"/>
  <c r="H496" i="12"/>
  <c r="K492" i="12"/>
  <c r="H493" i="12"/>
  <c r="H494" i="12" s="1"/>
  <c r="H495" i="12"/>
  <c r="H596" i="12"/>
  <c r="K592" i="12"/>
  <c r="H593" i="12"/>
  <c r="H594" i="12" s="1"/>
  <c r="H595" i="12"/>
  <c r="K1311" i="12"/>
  <c r="H386" i="12"/>
  <c r="K395" i="12"/>
  <c r="H396" i="12"/>
  <c r="H397" i="12" s="1"/>
  <c r="H459" i="12"/>
  <c r="K455" i="12"/>
  <c r="H458" i="12"/>
  <c r="H456" i="12"/>
  <c r="H457" i="12" s="1"/>
  <c r="H385" i="12"/>
  <c r="H303" i="12"/>
  <c r="H301" i="12"/>
  <c r="H302" i="12" s="1"/>
  <c r="K300" i="12"/>
  <c r="H304" i="12"/>
  <c r="H399" i="12"/>
  <c r="H164" i="12"/>
  <c r="K160" i="12"/>
  <c r="H163" i="12"/>
  <c r="H161" i="12"/>
  <c r="H162" i="12" s="1"/>
  <c r="H218" i="12"/>
  <c r="H216" i="12"/>
  <c r="H217" i="12" s="1"/>
  <c r="H219" i="12"/>
  <c r="K215" i="12"/>
  <c r="H224" i="12"/>
  <c r="K220" i="12"/>
  <c r="H223" i="12"/>
  <c r="H221" i="12"/>
  <c r="H222" i="12" s="1"/>
  <c r="H374" i="12"/>
  <c r="K370" i="12"/>
  <c r="H373" i="12"/>
  <c r="H371" i="12"/>
  <c r="H372" i="12" s="1"/>
  <c r="H343" i="12"/>
  <c r="K339" i="12"/>
  <c r="H340" i="12"/>
  <c r="H341" i="12" s="1"/>
  <c r="H342" i="12"/>
  <c r="K295" i="12"/>
  <c r="H298" i="12"/>
  <c r="H296" i="12"/>
  <c r="H297" i="12" s="1"/>
  <c r="H299" i="12"/>
  <c r="H398" i="12"/>
  <c r="H243" i="12"/>
  <c r="H241" i="12"/>
  <c r="H242" i="12" s="1"/>
  <c r="K240" i="12"/>
  <c r="H244" i="12"/>
  <c r="H383" i="12"/>
  <c r="H384" i="12" s="1"/>
  <c r="H1302" i="12"/>
  <c r="H1303" i="12" s="1"/>
  <c r="H1304" i="12"/>
  <c r="K1301" i="12"/>
  <c r="H1265" i="12"/>
  <c r="K1265" i="12" s="1"/>
  <c r="H1260" i="12"/>
  <c r="H1264" i="12" s="1"/>
  <c r="H1255" i="12"/>
  <c r="H1258" i="12" s="1"/>
  <c r="H1252" i="12"/>
  <c r="K1252" i="12" s="1"/>
  <c r="H1250" i="12"/>
  <c r="K1250" i="12" s="1"/>
  <c r="H1249" i="12"/>
  <c r="K1249" i="12" s="1"/>
  <c r="H1244" i="12"/>
  <c r="H1247" i="12" s="1"/>
  <c r="H1241" i="12"/>
  <c r="K1241" i="12" s="1"/>
  <c r="H1240" i="12"/>
  <c r="K1240" i="12" s="1"/>
  <c r="H1239" i="12"/>
  <c r="K1239" i="12" s="1"/>
  <c r="H1234" i="12"/>
  <c r="H1237" i="12" s="1"/>
  <c r="H1124" i="12"/>
  <c r="K1124" i="12" s="1"/>
  <c r="K1255" i="12" l="1"/>
  <c r="H1259" i="12"/>
  <c r="H1261" i="12"/>
  <c r="H1262" i="12" s="1"/>
  <c r="H1263" i="12"/>
  <c r="H1256" i="12"/>
  <c r="H1257" i="12" s="1"/>
  <c r="K1260" i="12"/>
  <c r="K1244" i="12"/>
  <c r="H1248" i="12"/>
  <c r="H1245" i="12"/>
  <c r="H1246" i="12" s="1"/>
  <c r="K1234" i="12"/>
  <c r="H1238" i="12"/>
  <c r="H1235" i="12"/>
  <c r="H1236" i="12" s="1"/>
  <c r="H1219" i="12"/>
  <c r="K1219" i="12" s="1"/>
  <c r="H1218" i="12"/>
  <c r="K1218" i="12" s="1"/>
  <c r="H1217" i="12"/>
  <c r="K1217" i="12" s="1"/>
  <c r="H1212" i="12"/>
  <c r="H1216" i="12" s="1"/>
  <c r="H1199" i="12"/>
  <c r="K1199" i="12" s="1"/>
  <c r="H1198" i="12"/>
  <c r="K1198" i="12" s="1"/>
  <c r="H1197" i="12"/>
  <c r="K1197" i="12" s="1"/>
  <c r="H1192" i="12"/>
  <c r="H1195" i="12" s="1"/>
  <c r="H1189" i="12"/>
  <c r="K1189" i="12" s="1"/>
  <c r="H1188" i="12"/>
  <c r="K1188" i="12" s="1"/>
  <c r="H1187" i="12"/>
  <c r="K1187" i="12" s="1"/>
  <c r="H1182" i="12"/>
  <c r="H1185" i="12" s="1"/>
  <c r="H1164" i="12"/>
  <c r="K1164" i="12" s="1"/>
  <c r="H1163" i="12"/>
  <c r="K1163" i="12" s="1"/>
  <c r="H1162" i="12"/>
  <c r="K1162" i="12" s="1"/>
  <c r="H1157" i="12"/>
  <c r="H1160" i="12" s="1"/>
  <c r="H1152" i="12"/>
  <c r="H1156" i="12" s="1"/>
  <c r="H1149" i="12"/>
  <c r="K1149" i="12" s="1"/>
  <c r="H1148" i="12"/>
  <c r="K1148" i="12" s="1"/>
  <c r="H1147" i="12"/>
  <c r="K1147" i="12" s="1"/>
  <c r="H1142" i="12"/>
  <c r="H1145" i="12" s="1"/>
  <c r="H1209" i="12"/>
  <c r="K1209" i="12" s="1"/>
  <c r="H1208" i="12"/>
  <c r="K1208" i="12" s="1"/>
  <c r="H1207" i="12"/>
  <c r="K1207" i="12" s="1"/>
  <c r="H1202" i="12"/>
  <c r="H1206" i="12" s="1"/>
  <c r="H1117" i="12"/>
  <c r="H1114" i="12"/>
  <c r="K1114" i="12" s="1"/>
  <c r="H1113" i="12"/>
  <c r="K1113" i="12" s="1"/>
  <c r="H1108" i="12"/>
  <c r="H1111" i="12" s="1"/>
  <c r="H1103" i="12"/>
  <c r="H1106" i="12" s="1"/>
  <c r="H1123" i="12"/>
  <c r="K1123" i="12" s="1"/>
  <c r="H1091" i="12"/>
  <c r="K1091" i="12" s="1"/>
  <c r="H1090" i="12"/>
  <c r="K1090" i="12" s="1"/>
  <c r="H1085" i="12"/>
  <c r="H1088" i="12" s="1"/>
  <c r="H1100" i="12"/>
  <c r="K1100" i="12" s="1"/>
  <c r="H1099" i="12"/>
  <c r="K1099" i="12" s="1"/>
  <c r="H1094" i="12"/>
  <c r="H1098" i="12" s="1"/>
  <c r="H1082" i="12"/>
  <c r="K1082" i="12" s="1"/>
  <c r="H1077" i="12"/>
  <c r="H1081" i="12" s="1"/>
  <c r="H1072" i="12"/>
  <c r="H1075" i="12" s="1"/>
  <c r="H1069" i="12"/>
  <c r="K1069" i="12" s="1"/>
  <c r="H1064" i="12"/>
  <c r="H1068" i="12" s="1"/>
  <c r="H1059" i="12"/>
  <c r="H1062" i="12" s="1"/>
  <c r="H1056" i="12"/>
  <c r="K1056" i="12" s="1"/>
  <c r="H1051" i="12"/>
  <c r="H1055" i="12" s="1"/>
  <c r="H1046" i="12"/>
  <c r="H1049" i="12" s="1"/>
  <c r="K1117" i="12" l="1"/>
  <c r="H1118" i="12"/>
  <c r="H1119" i="12" s="1"/>
  <c r="H1121" i="12"/>
  <c r="H1120" i="12"/>
  <c r="H1153" i="12"/>
  <c r="H1154" i="12" s="1"/>
  <c r="H1213" i="12"/>
  <c r="H1214" i="12" s="1"/>
  <c r="K1182" i="12"/>
  <c r="H1186" i="12"/>
  <c r="H1155" i="12"/>
  <c r="H1215" i="12"/>
  <c r="K1212" i="12"/>
  <c r="K1192" i="12"/>
  <c r="H1196" i="12"/>
  <c r="H1183" i="12"/>
  <c r="H1184" i="12" s="1"/>
  <c r="H1193" i="12"/>
  <c r="H1194" i="12" s="1"/>
  <c r="K1142" i="12"/>
  <c r="H1146" i="12"/>
  <c r="K1157" i="12"/>
  <c r="H1161" i="12"/>
  <c r="K1152" i="12"/>
  <c r="H1143" i="12"/>
  <c r="H1144" i="12" s="1"/>
  <c r="H1158" i="12"/>
  <c r="H1159" i="12" s="1"/>
  <c r="H1203" i="12"/>
  <c r="H1204" i="12" s="1"/>
  <c r="H1050" i="12"/>
  <c r="H1052" i="12"/>
  <c r="H1053" i="12" s="1"/>
  <c r="K1108" i="12"/>
  <c r="H1076" i="12"/>
  <c r="H1078" i="12"/>
  <c r="H1079" i="12" s="1"/>
  <c r="H1205" i="12"/>
  <c r="K1202" i="12"/>
  <c r="H1063" i="12"/>
  <c r="H1065" i="12"/>
  <c r="H1066" i="12" s="1"/>
  <c r="K1085" i="12"/>
  <c r="H1112" i="12"/>
  <c r="H1089" i="12"/>
  <c r="K1103" i="12"/>
  <c r="H1107" i="12"/>
  <c r="H1109" i="12"/>
  <c r="H1110" i="12" s="1"/>
  <c r="H1104" i="12"/>
  <c r="H1105" i="12" s="1"/>
  <c r="H1086" i="12"/>
  <c r="H1087" i="12" s="1"/>
  <c r="H1095" i="12"/>
  <c r="H1096" i="12" s="1"/>
  <c r="H1097" i="12"/>
  <c r="K1046" i="12"/>
  <c r="H1054" i="12"/>
  <c r="K1059" i="12"/>
  <c r="H1067" i="12"/>
  <c r="K1072" i="12"/>
  <c r="H1080" i="12"/>
  <c r="K1094" i="12"/>
  <c r="H1073" i="12"/>
  <c r="H1074" i="12" s="1"/>
  <c r="K1077" i="12"/>
  <c r="H1060" i="12"/>
  <c r="H1061" i="12" s="1"/>
  <c r="K1064" i="12"/>
  <c r="H1047" i="12"/>
  <c r="H1048" i="12" s="1"/>
  <c r="K1051" i="12"/>
  <c r="H1395" i="12"/>
  <c r="K1395" i="12" s="1"/>
  <c r="H31" i="12"/>
  <c r="H74" i="12"/>
  <c r="K74" i="12" s="1"/>
  <c r="H72" i="12"/>
  <c r="K72" i="12" s="1"/>
  <c r="H71" i="12"/>
  <c r="K71" i="12" s="1"/>
  <c r="H70" i="12"/>
  <c r="K70" i="12" s="1"/>
  <c r="H65" i="12"/>
  <c r="K65" i="12" s="1"/>
  <c r="L67" i="12" s="1"/>
  <c r="E16" i="13" s="1"/>
  <c r="H60" i="12"/>
  <c r="K60" i="12" s="1"/>
  <c r="L62" i="12" s="1"/>
  <c r="E15" i="13" s="1"/>
  <c r="H20" i="12"/>
  <c r="K20" i="12" s="1"/>
  <c r="H21" i="12"/>
  <c r="K21" i="12" s="1"/>
  <c r="H18" i="12"/>
  <c r="K18" i="12" s="1"/>
  <c r="H9" i="12"/>
  <c r="K9" i="12" s="1"/>
  <c r="L23" i="12" l="1"/>
  <c r="E7" i="13" s="1"/>
  <c r="H52" i="12"/>
  <c r="K52" i="12" s="1"/>
  <c r="H51" i="12"/>
  <c r="K51" i="12" s="1"/>
  <c r="K31" i="12"/>
  <c r="L37" i="12" s="1"/>
  <c r="E9" i="13" s="1"/>
  <c r="H1324" i="12"/>
  <c r="K1324" i="12" s="1"/>
  <c r="L1326" i="12" s="1"/>
  <c r="E26" i="13" s="1"/>
  <c r="H1122" i="12"/>
  <c r="K1122" i="12" s="1"/>
  <c r="L1314" i="12" s="1"/>
  <c r="E25" i="13" s="1"/>
  <c r="H122" i="12"/>
  <c r="K122" i="12" s="1"/>
  <c r="H123" i="12"/>
  <c r="K123" i="12" s="1"/>
  <c r="H128" i="12"/>
  <c r="K128" i="12" s="1"/>
  <c r="H127" i="12"/>
  <c r="K127" i="12" s="1"/>
  <c r="H126" i="12"/>
  <c r="K126" i="12" s="1"/>
  <c r="H125" i="12"/>
  <c r="K125" i="12" s="1"/>
  <c r="H124" i="12"/>
  <c r="K124" i="12" s="1"/>
  <c r="H121" i="12"/>
  <c r="K121" i="12" s="1"/>
  <c r="H116" i="12"/>
  <c r="K116" i="12" s="1"/>
  <c r="L118" i="12" s="1"/>
  <c r="E21" i="13" s="1"/>
  <c r="L54" i="12" l="1"/>
  <c r="E13" i="13" s="1"/>
  <c r="H81" i="12"/>
  <c r="K81" i="12" s="1"/>
  <c r="H1376" i="12"/>
  <c r="K1376" i="12" s="1"/>
  <c r="L83" i="12" l="1"/>
  <c r="E17" i="13" s="1"/>
  <c r="A1518" i="12"/>
  <c r="H1396" i="12"/>
  <c r="K1396" i="12" s="1"/>
  <c r="H1393" i="12"/>
  <c r="K1393" i="12" s="1"/>
  <c r="L1385" i="12"/>
  <c r="E35" i="13" s="1"/>
  <c r="H1389" i="12" l="1"/>
  <c r="K1389" i="12" s="1"/>
  <c r="L1398" i="12" l="1"/>
  <c r="E36" i="13" s="1"/>
  <c r="H130" i="12" l="1"/>
  <c r="K130" i="12" s="1"/>
  <c r="L132" i="12" s="1"/>
  <c r="E22" i="13" s="1"/>
  <c r="L1475" i="12" l="1"/>
  <c r="E45" i="13" s="1"/>
  <c r="A7" i="12" l="1"/>
  <c r="A8" i="12" l="1"/>
  <c r="A9" i="12" s="1"/>
  <c r="H8" i="12"/>
  <c r="A16" i="12" l="1"/>
  <c r="A1519" i="12"/>
  <c r="A18" i="12" l="1"/>
  <c r="A20" i="12" s="1"/>
  <c r="K8" i="12"/>
  <c r="L11" i="12" s="1"/>
  <c r="A21" i="12" l="1"/>
  <c r="K1520" i="12"/>
  <c r="E4" i="13"/>
  <c r="L1520" i="12"/>
  <c r="L1521" i="12" s="1"/>
  <c r="C5" i="12" s="1"/>
  <c r="A26" i="12" l="1"/>
  <c r="E76" i="13"/>
  <c r="E77" i="13" s="1"/>
  <c r="A31" i="12" l="1"/>
  <c r="A32" i="12" l="1"/>
  <c r="A35" i="12" s="1"/>
  <c r="A41" i="12" s="1"/>
  <c r="A46" i="12" s="1"/>
  <c r="A51" i="12" s="1"/>
  <c r="A52" i="12" s="1"/>
  <c r="A58" i="12" s="1"/>
  <c r="A59" i="12" s="1"/>
  <c r="A60" i="12" s="1"/>
  <c r="A65" i="12" s="1"/>
  <c r="A70" i="12" s="1"/>
  <c r="A71" i="12" s="1"/>
  <c r="A72" i="12" s="1"/>
  <c r="A73" i="12" s="1"/>
  <c r="A74" i="12" s="1"/>
  <c r="A75" i="12" s="1"/>
  <c r="A76" i="12" s="1"/>
  <c r="A77" i="12" s="1"/>
  <c r="A78" i="12" s="1"/>
  <c r="A79" i="12" s="1"/>
  <c r="A80" i="12" s="1"/>
  <c r="A81" i="12" s="1"/>
  <c r="A86" i="12" s="1"/>
  <c r="A87" i="12" s="1"/>
  <c r="A92" i="12" s="1"/>
  <c r="A99" i="12" s="1"/>
  <c r="A100" i="12" s="1"/>
  <c r="A101" i="12" s="1"/>
  <c r="A103" i="12" s="1"/>
  <c r="A104" i="12" s="1"/>
  <c r="A105" i="12" s="1"/>
  <c r="A107" i="12" s="1"/>
  <c r="A108" i="12" s="1"/>
  <c r="A110" i="12" s="1"/>
  <c r="A111" i="12" s="1"/>
  <c r="A112" i="12" s="1"/>
  <c r="A113" i="12" s="1"/>
  <c r="A114" i="12" s="1"/>
  <c r="A115" i="12" s="1"/>
  <c r="A116" i="12" s="1"/>
  <c r="A121" i="12" s="1"/>
  <c r="A122" i="12" s="1"/>
  <c r="A123" i="12" s="1"/>
  <c r="A124" i="12" s="1"/>
  <c r="A125" i="12" s="1"/>
  <c r="A126" i="12" s="1"/>
  <c r="A127" i="12" s="1"/>
  <c r="A128" i="12" s="1"/>
  <c r="A129" i="12" s="1"/>
  <c r="A130" i="12" s="1"/>
  <c r="A135" i="12" s="1"/>
  <c r="A143" i="12" s="1"/>
  <c r="A148" i="12" s="1"/>
  <c r="A149" i="12" s="1"/>
  <c r="A151" i="12" s="1"/>
  <c r="A155" i="12" s="1"/>
  <c r="A160" i="12" s="1"/>
  <c r="A165" i="12" s="1"/>
  <c r="A168" i="12" s="1"/>
  <c r="A173" i="12" s="1"/>
  <c r="A178" i="12" s="1"/>
  <c r="A181" i="12" s="1"/>
  <c r="A186" i="12" s="1"/>
  <c r="A187" i="12" s="1"/>
  <c r="A190" i="12" s="1"/>
  <c r="A195" i="12" s="1"/>
  <c r="A200" i="12" s="1"/>
  <c r="A201" i="12" s="1"/>
  <c r="A202" i="12" s="1"/>
  <c r="A205" i="12" s="1"/>
  <c r="A210" i="12" s="1"/>
  <c r="A211" i="12" s="1"/>
  <c r="A212" i="12" s="1"/>
  <c r="A215" i="12" s="1"/>
  <c r="A220" i="12" s="1"/>
  <c r="A225" i="12" s="1"/>
  <c r="A226" i="12" s="1"/>
  <c r="A227" i="12" s="1"/>
  <c r="A230" i="12" s="1"/>
  <c r="A235" i="12" s="1"/>
  <c r="A236" i="12" s="1"/>
  <c r="A237" i="12" s="1"/>
  <c r="A240" i="12" s="1"/>
  <c r="A245" i="12" s="1"/>
  <c r="A250" i="12" s="1"/>
  <c r="A251" i="12" s="1"/>
  <c r="A252" i="12" s="1"/>
  <c r="A255" i="12" s="1"/>
  <c r="A260" i="12" s="1"/>
  <c r="A265" i="12" s="1"/>
  <c r="A266" i="12" s="1"/>
  <c r="A267" i="12" s="1"/>
  <c r="A270" i="12" s="1"/>
  <c r="A275" i="12" s="1"/>
  <c r="A276" i="12" s="1"/>
  <c r="A277" i="12" s="1"/>
  <c r="A280" i="12" s="1"/>
  <c r="A285" i="12" s="1"/>
  <c r="A290" i="12" s="1"/>
  <c r="A291" i="12" s="1"/>
  <c r="A292" i="12" s="1"/>
  <c r="A295" i="12" s="1"/>
  <c r="A300" i="12" s="1"/>
  <c r="A305" i="12" s="1"/>
  <c r="A306" i="12" s="1"/>
  <c r="A308" i="12" s="1"/>
  <c r="A309" i="12" s="1"/>
  <c r="A312" i="12" s="1"/>
  <c r="A317" i="12" s="1"/>
  <c r="A322" i="12" s="1"/>
  <c r="A323" i="12" s="1"/>
  <c r="A325" i="12" s="1"/>
  <c r="A326" i="12" s="1"/>
  <c r="A329" i="12" s="1"/>
  <c r="A334" i="12" s="1"/>
  <c r="A335" i="12" s="1"/>
  <c r="A336" i="12" s="1"/>
  <c r="A339" i="12" s="1"/>
  <c r="A344" i="12" s="1"/>
  <c r="A345" i="12" s="1"/>
  <c r="A346" i="12" s="1"/>
  <c r="A349" i="12" s="1"/>
  <c r="A354" i="12" s="1"/>
  <c r="A359" i="12" s="1"/>
  <c r="A360" i="12" s="1"/>
  <c r="A362" i="12" s="1"/>
  <c r="A365" i="12" s="1"/>
  <c r="A370" i="12" s="1"/>
  <c r="A375" i="12" s="1"/>
  <c r="A376" i="12" s="1"/>
  <c r="A378" i="12" s="1"/>
  <c r="A381" i="12" s="1"/>
  <c r="A382" i="12" s="1"/>
  <c r="A387" i="12" s="1"/>
  <c r="A388" i="12" s="1"/>
  <c r="A390" i="12" s="1"/>
  <c r="A391" i="12" s="1"/>
  <c r="A394" i="12" s="1"/>
  <c r="A395" i="12" s="1"/>
  <c r="A400" i="12" s="1"/>
  <c r="A401" i="12" s="1"/>
  <c r="A403" i="12" s="1"/>
  <c r="A404" i="12" s="1"/>
  <c r="A407" i="12" s="1"/>
  <c r="A412" i="12" s="1"/>
  <c r="A413" i="12" s="1"/>
  <c r="A415" i="12" s="1"/>
  <c r="A418" i="12" s="1"/>
  <c r="A423" i="12" s="1"/>
  <c r="A428" i="12" s="1"/>
  <c r="A431" i="12" s="1"/>
  <c r="A436" i="12" s="1"/>
  <c r="A437" i="12" s="1"/>
  <c r="A439" i="12" s="1"/>
  <c r="A440" i="12" s="1"/>
  <c r="A441" i="12" s="1"/>
  <c r="A442" i="12" s="1"/>
  <c r="A445" i="12" s="1"/>
  <c r="A450" i="12" s="1"/>
  <c r="A451" i="12" s="1"/>
  <c r="A452" i="12" s="1"/>
  <c r="A455" i="12" s="1"/>
  <c r="A460" i="12" s="1"/>
  <c r="A461" i="12" s="1"/>
  <c r="A462" i="12" s="1"/>
  <c r="A466" i="12" s="1"/>
  <c r="A471" i="12" s="1"/>
  <c r="A476" i="12" s="1"/>
  <c r="A479" i="12" s="1"/>
  <c r="A484" i="12" s="1"/>
  <c r="A489" i="12" s="1"/>
  <c r="A492" i="12" s="1"/>
  <c r="A497" i="12" s="1"/>
  <c r="A502" i="12" s="1"/>
  <c r="A505" i="12" s="1"/>
  <c r="A510" i="12" s="1"/>
  <c r="A511" i="12" s="1"/>
  <c r="A514" i="12" s="1"/>
  <c r="A519" i="12" s="1"/>
  <c r="A520" i="12" s="1"/>
  <c r="A523" i="12" s="1"/>
  <c r="A528" i="12" s="1"/>
  <c r="A533" i="12" s="1"/>
  <c r="A534" i="12" s="1"/>
  <c r="A537" i="12" s="1"/>
  <c r="A542" i="12" s="1"/>
  <c r="A543" i="12" s="1"/>
  <c r="A544" i="12" s="1"/>
  <c r="A547" i="12" s="1"/>
  <c r="A552" i="12" s="1"/>
  <c r="A557" i="12" s="1"/>
  <c r="A558" i="12" s="1"/>
  <c r="A559" i="12" s="1"/>
  <c r="A562" i="12" s="1"/>
  <c r="A567" i="12" s="1"/>
  <c r="A568" i="12" s="1"/>
  <c r="A569" i="12" s="1"/>
  <c r="A572" i="12" s="1"/>
  <c r="A577" i="12" s="1"/>
  <c r="A582" i="12" s="1"/>
  <c r="A583" i="12" s="1"/>
  <c r="A584" i="12" s="1"/>
  <c r="A587" i="12" s="1"/>
  <c r="A592" i="12" s="1"/>
  <c r="A597" i="12" s="1"/>
  <c r="A598" i="12" s="1"/>
  <c r="A599" i="12" s="1"/>
  <c r="A602" i="12" s="1"/>
  <c r="A607" i="12" s="1"/>
  <c r="A608" i="12" s="1"/>
  <c r="A609" i="12" s="1"/>
  <c r="A612" i="12" s="1"/>
  <c r="A617" i="12" s="1"/>
  <c r="A618" i="12" s="1"/>
  <c r="A619" i="12" s="1"/>
  <c r="A622" i="12" s="1"/>
  <c r="A627" i="12" s="1"/>
  <c r="A628" i="12" s="1"/>
  <c r="A629" i="12" s="1"/>
  <c r="A632" i="12" s="1"/>
  <c r="A637" i="12" s="1"/>
  <c r="A642" i="12" s="1"/>
  <c r="A643" i="12" s="1"/>
  <c r="A644" i="12" s="1"/>
  <c r="A647" i="12" s="1"/>
  <c r="A652" i="12" s="1"/>
  <c r="A657" i="12" s="1"/>
  <c r="A658" i="12" s="1"/>
  <c r="A659" i="12" s="1"/>
  <c r="A662" i="12" s="1"/>
  <c r="A667" i="12" s="1"/>
  <c r="A668" i="12" s="1"/>
  <c r="A669" i="12" s="1"/>
  <c r="A672" i="12" s="1"/>
  <c r="A677" i="12" s="1"/>
  <c r="A682" i="12" s="1"/>
  <c r="A683" i="12" s="1"/>
  <c r="A684" i="12" s="1"/>
  <c r="A687" i="12" s="1"/>
  <c r="A692" i="12" s="1"/>
  <c r="A693" i="12" s="1"/>
  <c r="A694" i="12" s="1"/>
  <c r="A697" i="12" s="1"/>
  <c r="A702" i="12" s="1"/>
  <c r="A703" i="12" s="1"/>
  <c r="A704" i="12" s="1"/>
  <c r="A707" i="12" s="1"/>
  <c r="A712" i="12" s="1"/>
  <c r="A713" i="12" s="1"/>
  <c r="A715" i="12" s="1"/>
  <c r="A718" i="12" s="1"/>
  <c r="A723" i="12" s="1"/>
  <c r="A728" i="12" s="1"/>
  <c r="A731" i="12" s="1"/>
  <c r="A736" i="12" s="1"/>
  <c r="A737" i="12" s="1"/>
  <c r="A738" i="12" s="1"/>
  <c r="A741" i="12" s="1"/>
  <c r="A746" i="12" s="1"/>
  <c r="A747" i="12" s="1"/>
  <c r="A748" i="12" s="1"/>
  <c r="A751" i="12" s="1"/>
  <c r="A752" i="12" s="1"/>
  <c r="A756" i="12" s="1"/>
  <c r="A761" i="12" s="1"/>
  <c r="A766" i="12" s="1"/>
  <c r="A769" i="12" s="1"/>
  <c r="A774" i="12" s="1"/>
  <c r="A779" i="12" s="1"/>
  <c r="A782" i="12" s="1"/>
  <c r="A787" i="12" s="1"/>
  <c r="A792" i="12" s="1"/>
  <c r="A795" i="12" s="1"/>
  <c r="A800" i="12" s="1"/>
  <c r="A801" i="12" s="1"/>
  <c r="A804" i="12" s="1"/>
  <c r="A809" i="12" s="1"/>
  <c r="A810" i="12" s="1"/>
  <c r="A813" i="12" s="1"/>
  <c r="A818" i="12" s="1"/>
  <c r="A823" i="12" s="1"/>
  <c r="A824" i="12" s="1"/>
  <c r="A827" i="12" s="1"/>
  <c r="A832" i="12" s="1"/>
  <c r="A833" i="12" s="1"/>
  <c r="A834" i="12" s="1"/>
  <c r="A837" i="12" s="1"/>
  <c r="A842" i="12" s="1"/>
  <c r="A847" i="12" s="1"/>
  <c r="A848" i="12" s="1"/>
  <c r="A849" i="12" s="1"/>
  <c r="A852" i="12" s="1"/>
  <c r="A857" i="12" s="1"/>
  <c r="A858" i="12" s="1"/>
  <c r="A859" i="12" s="1"/>
  <c r="A862" i="12" s="1"/>
  <c r="A867" i="12" s="1"/>
  <c r="A872" i="12" s="1"/>
  <c r="A873" i="12" s="1"/>
  <c r="A874" i="12" s="1"/>
  <c r="A877" i="12" s="1"/>
  <c r="A882" i="12" s="1"/>
  <c r="A887" i="12" s="1"/>
  <c r="A888" i="12" s="1"/>
  <c r="A889" i="12" s="1"/>
  <c r="A892" i="12" s="1"/>
  <c r="A897" i="12" s="1"/>
  <c r="A898" i="12" s="1"/>
  <c r="A899" i="12" s="1"/>
  <c r="A902" i="12" s="1"/>
  <c r="A907" i="12" s="1"/>
  <c r="A908" i="12" s="1"/>
  <c r="A909" i="12" s="1"/>
  <c r="A912" i="12" s="1"/>
  <c r="A917" i="12" s="1"/>
  <c r="A918" i="12" s="1"/>
  <c r="A919" i="12" s="1"/>
  <c r="A922" i="12" s="1"/>
  <c r="A927" i="12" s="1"/>
  <c r="A932" i="12" s="1"/>
  <c r="A933" i="12" s="1"/>
  <c r="A934" i="12" s="1"/>
  <c r="A937" i="12" s="1"/>
  <c r="A942" i="12" s="1"/>
  <c r="A947" i="12" s="1"/>
  <c r="A948" i="12" s="1"/>
  <c r="A949" i="12" s="1"/>
  <c r="A952" i="12" s="1"/>
  <c r="A957" i="12" s="1"/>
  <c r="A958" i="12" s="1"/>
  <c r="A959" i="12" s="1"/>
  <c r="A962" i="12" s="1"/>
  <c r="A967" i="12" s="1"/>
  <c r="A972" i="12" s="1"/>
  <c r="A973" i="12" s="1"/>
  <c r="A974" i="12" s="1"/>
  <c r="A977" i="12" s="1"/>
  <c r="A982" i="12" s="1"/>
  <c r="A983" i="12" s="1"/>
  <c r="A984" i="12" s="1"/>
  <c r="A987" i="12" s="1"/>
  <c r="A992" i="12" s="1"/>
  <c r="A993" i="12" s="1"/>
  <c r="A994" i="12" s="1"/>
  <c r="A997" i="12" s="1"/>
  <c r="A1002" i="12" s="1"/>
  <c r="A1003" i="12" s="1"/>
  <c r="A1005" i="12" s="1"/>
  <c r="A1008" i="12" s="1"/>
  <c r="A1013" i="12" s="1"/>
  <c r="A1018" i="12" s="1"/>
  <c r="A1021" i="12" s="1"/>
  <c r="A1026" i="12" s="1"/>
  <c r="A1027" i="12" s="1"/>
  <c r="A1028" i="12" s="1"/>
  <c r="A1031" i="12" s="1"/>
  <c r="A1036" i="12" s="1"/>
  <c r="A1037" i="12" s="1"/>
  <c r="A1038" i="12" s="1"/>
  <c r="A1041" i="12" s="1"/>
  <c r="A1042" i="12" s="1"/>
  <c r="A1046" i="12" s="1"/>
  <c r="A1051" i="12" s="1"/>
  <c r="A1056" i="12" s="1"/>
  <c r="A1059" i="12" s="1"/>
  <c r="A1064" i="12" s="1"/>
  <c r="A1069" i="12" s="1"/>
  <c r="A1072" i="12" s="1"/>
  <c r="A1077" i="12" s="1"/>
  <c r="A1082" i="12" s="1"/>
  <c r="A1085" i="12" s="1"/>
  <c r="A1090" i="12" s="1"/>
  <c r="A1091" i="12" s="1"/>
  <c r="A1094" i="12" s="1"/>
  <c r="A1099" i="12" s="1"/>
  <c r="A1100" i="12" s="1"/>
  <c r="A1103" i="12" s="1"/>
  <c r="A1108" i="12" s="1"/>
  <c r="A1113" i="12" s="1"/>
  <c r="A1114" i="12" s="1"/>
  <c r="A1117" i="12" s="1"/>
  <c r="A1122" i="12" s="1"/>
  <c r="A1123" i="12" s="1"/>
  <c r="A1124" i="12" s="1"/>
  <c r="A1127" i="12" s="1"/>
  <c r="A1132" i="12" s="1"/>
  <c r="A1137" i="12" s="1"/>
  <c r="A1138" i="12" s="1"/>
  <c r="A1139" i="12" s="1"/>
  <c r="A1142" i="12" s="1"/>
  <c r="A1147" i="12" s="1"/>
  <c r="A1148" i="12" s="1"/>
  <c r="A1149" i="12" s="1"/>
  <c r="A1152" i="12" s="1"/>
  <c r="A1157" i="12" s="1"/>
  <c r="A1162" i="12" s="1"/>
  <c r="A1163" i="12" s="1"/>
  <c r="A1164" i="12" s="1"/>
  <c r="A1167" i="12" s="1"/>
  <c r="A1172" i="12" s="1"/>
  <c r="A1177" i="12" s="1"/>
  <c r="A1178" i="12" s="1"/>
  <c r="A1179" i="12" s="1"/>
  <c r="A1182" i="12" s="1"/>
  <c r="A1187" i="12" s="1"/>
  <c r="A1188" i="12" s="1"/>
  <c r="A1189" i="12" s="1"/>
  <c r="A1192" i="12" s="1"/>
  <c r="A1197" i="12" s="1"/>
  <c r="A1198" i="12" s="1"/>
  <c r="A1199" i="12" s="1"/>
  <c r="A1202" i="12" s="1"/>
  <c r="A1207" i="12" s="1"/>
  <c r="A1208" i="12" s="1"/>
  <c r="A1209" i="12" s="1"/>
  <c r="A1212" i="12" s="1"/>
  <c r="A1217" i="12" s="1"/>
  <c r="A1218" i="12" s="1"/>
  <c r="A1219" i="12" s="1"/>
  <c r="A1222" i="12" s="1"/>
  <c r="A1227" i="12" s="1"/>
  <c r="A1228" i="12" s="1"/>
  <c r="A1230" i="12" s="1"/>
  <c r="A1231" i="12" s="1"/>
  <c r="A1234" i="12" s="1"/>
  <c r="A1239" i="12" s="1"/>
  <c r="A1240" i="12" s="1"/>
  <c r="A1241" i="12" s="1"/>
  <c r="A1244" i="12" s="1"/>
  <c r="A1249" i="12" s="1"/>
  <c r="A1250" i="12" s="1"/>
  <c r="A1252" i="12" s="1"/>
  <c r="A1255" i="12" s="1"/>
  <c r="A1260" i="12" s="1"/>
  <c r="A1265" i="12" s="1"/>
  <c r="A1268" i="12" s="1"/>
  <c r="A1273" i="12" s="1"/>
  <c r="A1274" i="12" s="1"/>
  <c r="A1275" i="12" s="1"/>
  <c r="A1278" i="12" s="1"/>
  <c r="A1283" i="12" s="1"/>
  <c r="A1284" i="12" s="1"/>
  <c r="A1285" i="12" s="1"/>
  <c r="A1288" i="12" s="1"/>
  <c r="A1289" i="12" s="1"/>
  <c r="A1293" i="12" s="1"/>
  <c r="A1298" i="12" s="1"/>
  <c r="A1301" i="12" s="1"/>
  <c r="A1306" i="12" s="1"/>
  <c r="A1307" i="12" s="1"/>
  <c r="A1308" i="12" s="1"/>
  <c r="A1311" i="12" s="1"/>
  <c r="A1312" i="12" s="1"/>
  <c r="A1317" i="12" s="1"/>
  <c r="A1318" i="12" s="1"/>
  <c r="A1319" i="12" s="1"/>
  <c r="A1320" i="12" s="1"/>
  <c r="A1321" i="12" s="1"/>
  <c r="A1322" i="12" s="1"/>
  <c r="A1323" i="12" s="1"/>
  <c r="A1324" i="12" s="1"/>
  <c r="A1329" i="12" s="1"/>
  <c r="A1334" i="12" s="1"/>
  <c r="A1335" i="12" s="1"/>
  <c r="A1336" i="12" s="1"/>
  <c r="A1341" i="12" s="1"/>
  <c r="A1346" i="12" s="1"/>
  <c r="A1347" i="12" s="1"/>
  <c r="A1352" i="12" s="1"/>
  <c r="A1357" i="12" s="1"/>
  <c r="A1358" i="12" s="1"/>
  <c r="A1363" i="12" s="1"/>
  <c r="A1368" i="12" s="1"/>
  <c r="A1374" i="12" s="1"/>
  <c r="A1375" i="12" s="1"/>
  <c r="A1376" i="12" s="1"/>
  <c r="A1377" i="12" s="1"/>
  <c r="A1378" i="12" s="1"/>
  <c r="A1379" i="12" s="1"/>
  <c r="A1380" i="12" s="1"/>
  <c r="A1382" i="12" s="1"/>
  <c r="A1383" i="12" s="1"/>
  <c r="A1389" i="12" s="1"/>
  <c r="A1390" i="12" s="1"/>
  <c r="A1392" i="12" s="1"/>
  <c r="A1393" i="12" s="1"/>
  <c r="A1395" i="12" s="1"/>
  <c r="A1396" i="12" s="1"/>
  <c r="A1402" i="12" s="1"/>
  <c r="A1403" i="12" s="1"/>
  <c r="A1404" i="12" s="1"/>
  <c r="A1405" i="12" s="1"/>
  <c r="A1406" i="12" s="1"/>
  <c r="A1407" i="12" s="1"/>
  <c r="A1408" i="12" s="1"/>
  <c r="A1409" i="12" s="1"/>
  <c r="A1410" i="12" s="1"/>
  <c r="A1411" i="12" s="1"/>
  <c r="A1412" i="12" s="1"/>
  <c r="A1413" i="12" s="1"/>
  <c r="A1418" i="12" s="1"/>
  <c r="A1423" i="12" s="1"/>
  <c r="A1428" i="12" s="1"/>
  <c r="A1429" i="12" s="1"/>
  <c r="A1430" i="12" s="1"/>
  <c r="A1431" i="12" s="1"/>
  <c r="A1432" i="12" s="1"/>
  <c r="A1433" i="12" s="1"/>
  <c r="A1434" i="12" s="1"/>
  <c r="A1435" i="12" s="1"/>
  <c r="A1440" i="12" s="1"/>
  <c r="A1445" i="12" s="1"/>
  <c r="A1450" i="12" s="1"/>
  <c r="A1451" i="12" s="1"/>
  <c r="A1452" i="12" s="1"/>
  <c r="A1453" i="12" s="1"/>
  <c r="A1454" i="12" s="1"/>
  <c r="A1455" i="12" s="1"/>
  <c r="A1456" i="12" s="1"/>
  <c r="A1457" i="12" s="1"/>
  <c r="A1458" i="12" s="1"/>
  <c r="A1459" i="12" s="1"/>
  <c r="A1460" i="12" s="1"/>
  <c r="A1466" i="12" s="1"/>
  <c r="A1467" i="12" s="1"/>
  <c r="A1468" i="12" s="1"/>
  <c r="A1469" i="12" s="1"/>
  <c r="A1470" i="12" s="1"/>
  <c r="A1471" i="12" s="1"/>
  <c r="A1472" i="12" s="1"/>
  <c r="A1473" i="12" s="1"/>
  <c r="A1479" i="12" s="1"/>
  <c r="A1482" i="12" s="1"/>
  <c r="A1483" i="12" s="1"/>
  <c r="A1484" i="12" s="1"/>
  <c r="A1485" i="12" s="1"/>
  <c r="A1486" i="12" s="1"/>
  <c r="A1487" i="12" s="1"/>
  <c r="A1488" i="12" s="1"/>
  <c r="A1489" i="12" s="1"/>
  <c r="A1492" i="12" s="1"/>
  <c r="A1493" i="12" s="1"/>
  <c r="A1494" i="12" s="1"/>
  <c r="A1495" i="12" s="1"/>
  <c r="A1496" i="12" s="1"/>
  <c r="A1499" i="12" s="1"/>
  <c r="A1502" i="12" s="1"/>
  <c r="A1503" i="12" s="1"/>
  <c r="A1509" i="12" s="1"/>
  <c r="A1514" i="12" s="1"/>
  <c r="A1523" i="12" l="1"/>
  <c r="A1525" i="12" s="1"/>
</calcChain>
</file>

<file path=xl/sharedStrings.xml><?xml version="1.0" encoding="utf-8"?>
<sst xmlns="http://schemas.openxmlformats.org/spreadsheetml/2006/main" count="9582" uniqueCount="1849">
  <si>
    <t>UNIT</t>
  </si>
  <si>
    <t>DESCRIPTION</t>
  </si>
  <si>
    <t>UNIT COST</t>
  </si>
  <si>
    <t>TOTAL BASE BID</t>
  </si>
  <si>
    <t>WASTE</t>
  </si>
  <si>
    <t>QTY. W/ WASTE</t>
  </si>
  <si>
    <t>TOTAL COST</t>
  </si>
  <si>
    <t>PROJECT</t>
  </si>
  <si>
    <t>ADDRESS</t>
  </si>
  <si>
    <t>Date of submission</t>
  </si>
  <si>
    <t>Date of plans</t>
  </si>
  <si>
    <t>SR #</t>
  </si>
  <si>
    <t>SUB TOTALS</t>
  </si>
  <si>
    <t>Rev 0</t>
  </si>
  <si>
    <t>SUB - TOTAL</t>
  </si>
  <si>
    <t>LF</t>
  </si>
  <si>
    <t>Sheet
No.</t>
  </si>
  <si>
    <t>Detail
No.</t>
  </si>
  <si>
    <t>SF</t>
  </si>
  <si>
    <t>CSI
No.</t>
  </si>
  <si>
    <t>EA</t>
  </si>
  <si>
    <t>09 00 00</t>
  </si>
  <si>
    <t>FINISHES</t>
  </si>
  <si>
    <t>10 00 00</t>
  </si>
  <si>
    <t>SPECIALITIES</t>
  </si>
  <si>
    <t>12 00 00</t>
  </si>
  <si>
    <t>FURNISHINGS</t>
  </si>
  <si>
    <t>LS</t>
  </si>
  <si>
    <t>Millwork Sub Total</t>
  </si>
  <si>
    <t>TOTAL</t>
  </si>
  <si>
    <t>Note: Please Refer to next tabs for detailed estimates.</t>
  </si>
  <si>
    <t xml:space="preserve">Painting </t>
  </si>
  <si>
    <t xml:space="preserve">Millwork </t>
  </si>
  <si>
    <t>BATHROOM ACCESSORIES</t>
  </si>
  <si>
    <t>Bathroom Accessoreis Sub Total</t>
  </si>
  <si>
    <t>01 00 00</t>
  </si>
  <si>
    <t>GENERAL CONDITIONS</t>
  </si>
  <si>
    <t>General Requirements
 - Mobilization
- Permits
- Project Supervision
- Cleaning
- Insurance
- Submittals
- Shop Drawings
- Temporary Facilites</t>
  </si>
  <si>
    <t>General Conditions Sub Total</t>
  </si>
  <si>
    <t>SOLID SURFACE COUNTERTOP AND BACKSPLASH</t>
  </si>
  <si>
    <t xml:space="preserve">Bathroom Accessoreis </t>
  </si>
  <si>
    <t>Soap Dispenser</t>
  </si>
  <si>
    <t>PAINTING</t>
  </si>
  <si>
    <t>PAINT ON WALLS</t>
  </si>
  <si>
    <t>PAINT ON CEILING</t>
  </si>
  <si>
    <t>Painting Sub Total</t>
  </si>
  <si>
    <t xml:space="preserve">Carpet Flooring </t>
  </si>
  <si>
    <t xml:space="preserve">Tiling </t>
  </si>
  <si>
    <t xml:space="preserve">4'x8' GB Sheet </t>
  </si>
  <si>
    <t>Sheets</t>
  </si>
  <si>
    <t>500' Tape Roll</t>
  </si>
  <si>
    <t>Rolls</t>
  </si>
  <si>
    <t>Joint Compound</t>
  </si>
  <si>
    <t>Gallons</t>
  </si>
  <si>
    <t>1-1/4" Drywall Screws</t>
  </si>
  <si>
    <t>Pounds</t>
  </si>
  <si>
    <t>Approx. Quantity of Studs</t>
  </si>
  <si>
    <t>DRYWALL ASSEMBLIES</t>
  </si>
  <si>
    <t>08 00 00</t>
  </si>
  <si>
    <t>OPENINGS</t>
  </si>
  <si>
    <t>DOORS, FRAMES &amp; HARDWARES</t>
  </si>
  <si>
    <t>WINDOWS</t>
  </si>
  <si>
    <t>FIRST FLOOR</t>
  </si>
  <si>
    <t>Drywall Assemblies Sub Total</t>
  </si>
  <si>
    <t>GWB CEILING</t>
  </si>
  <si>
    <t>GWB Ceiling Sub Total</t>
  </si>
  <si>
    <r>
      <t>Countertop @ Baths W/
- 4" Backsplash</t>
    </r>
    <r>
      <rPr>
        <b/>
        <sz val="12"/>
        <rFont val="Calibri"/>
        <family val="2"/>
        <scheme val="minor"/>
      </rPr>
      <t/>
    </r>
  </si>
  <si>
    <t>SHELVES</t>
  </si>
  <si>
    <t>Tissue Paper Holder</t>
  </si>
  <si>
    <r>
      <t>42" Grab Bars</t>
    </r>
    <r>
      <rPr>
        <b/>
        <sz val="12"/>
        <rFont val="Calibri"/>
        <family val="2"/>
        <scheme val="minor"/>
      </rPr>
      <t/>
    </r>
  </si>
  <si>
    <t>EXTERIOR FINISHES</t>
  </si>
  <si>
    <t>Exterior Finishes Sub Total</t>
  </si>
  <si>
    <t>(2) Layers of 5/8" Type"X" Gypsum Board on Both Sides of Wall</t>
  </si>
  <si>
    <t>TILING</t>
  </si>
  <si>
    <t>Tiling Sub Total</t>
  </si>
  <si>
    <r>
      <t>36" Grab Bars</t>
    </r>
    <r>
      <rPr>
        <b/>
        <sz val="12"/>
        <rFont val="Calibri"/>
        <family val="2"/>
        <scheme val="minor"/>
      </rPr>
      <t/>
    </r>
  </si>
  <si>
    <t>11 00 00</t>
  </si>
  <si>
    <t>APPLIANCES</t>
  </si>
  <si>
    <t>04 00 00</t>
  </si>
  <si>
    <t>METALS</t>
  </si>
  <si>
    <t>RAILINGS</t>
  </si>
  <si>
    <t>06 00 00</t>
  </si>
  <si>
    <t>WOOD, PLASTICS &amp; COMPOSITES</t>
  </si>
  <si>
    <t>07 00 00</t>
  </si>
  <si>
    <t>THERMAL &amp; MOISTURE PROTECTION</t>
  </si>
  <si>
    <t>Scaffolding</t>
  </si>
  <si>
    <t>STEEL FRAMING</t>
  </si>
  <si>
    <t>STEEL COLUMNS</t>
  </si>
  <si>
    <t>STEEL PLATES</t>
  </si>
  <si>
    <t>Base Plates</t>
  </si>
  <si>
    <t>Cap Plates</t>
  </si>
  <si>
    <t>DOOR &amp; WINDOW TRIMS</t>
  </si>
  <si>
    <t>Doors &amp; Windows Trim Sub Total</t>
  </si>
  <si>
    <t>Windows Trim</t>
  </si>
  <si>
    <t>Doors Trim</t>
  </si>
  <si>
    <t>ASPHALT SHINGLE ROOFING</t>
  </si>
  <si>
    <t>ROOF ACCESSORIES</t>
  </si>
  <si>
    <t>Roof Accessories Sub Total</t>
  </si>
  <si>
    <r>
      <t>Countertop @ Kitchen W/
- 4" Backsplash</t>
    </r>
    <r>
      <rPr>
        <b/>
        <sz val="12"/>
        <rFont val="Calibri"/>
        <family val="2"/>
        <scheme val="minor"/>
      </rPr>
      <t/>
    </r>
  </si>
  <si>
    <t>UPPER &amp; BASE CABINET</t>
  </si>
  <si>
    <t>1'-0" Deep Closet Shelves</t>
  </si>
  <si>
    <t>VANITY COUNTERTOP &amp; CABINETS</t>
  </si>
  <si>
    <t>Paint On Ceiling</t>
  </si>
  <si>
    <t>PAINT ON DOORS</t>
  </si>
  <si>
    <t>Paint On Single Panel Doors</t>
  </si>
  <si>
    <t>Paint On Double Panel Doors</t>
  </si>
  <si>
    <t>Paint On Walls</t>
  </si>
  <si>
    <t>1 Layer of 5/8" Type"X" Gypsum Board on Both Sides of Wall</t>
  </si>
  <si>
    <t xml:space="preserve">1 Layer of 5/8" Type"X" Moisture Resistant Gypsum Board </t>
  </si>
  <si>
    <t xml:space="preserve">Fire Sealant @ Top &amp; Bottom </t>
  </si>
  <si>
    <t>WALL TYPE - A1</t>
  </si>
  <si>
    <t>Assemblies/A9.21</t>
  </si>
  <si>
    <t>A2.00-A2.50</t>
  </si>
  <si>
    <t>WALL TYPE - A2</t>
  </si>
  <si>
    <t>WALL TYPE - A3</t>
  </si>
  <si>
    <t>WALL TYPE - B1</t>
  </si>
  <si>
    <t>3-1/2" Acoustical Insulation R-13</t>
  </si>
  <si>
    <t>WALL TYPE - B2</t>
  </si>
  <si>
    <t>5-1/2" Acoustical Insulation R-13</t>
  </si>
  <si>
    <t>7-1/2" Acoustical Insulation R-13</t>
  </si>
  <si>
    <t>WALL TYPE - B3</t>
  </si>
  <si>
    <t>WALL TYPE - B5</t>
  </si>
  <si>
    <t>1 Layer of 5/8" Type"X" Gypsum Board on One Side of Wall</t>
  </si>
  <si>
    <t>1/2" Resilient Channels</t>
  </si>
  <si>
    <t>WALL TYPE - C2</t>
  </si>
  <si>
    <t>WALL TYPE - C4</t>
  </si>
  <si>
    <t>7-1/2" Acoustical Insulation R-21</t>
  </si>
  <si>
    <t>WALL TYPE - C5</t>
  </si>
  <si>
    <t>WALL TYPE - C1.B</t>
  </si>
  <si>
    <t>WALL TYPE - C2.B</t>
  </si>
  <si>
    <t>WALL TYPE - D1</t>
  </si>
  <si>
    <t>WALL TYPE - D2</t>
  </si>
  <si>
    <t>WALL TYPE - E2</t>
  </si>
  <si>
    <t>4" Metal Studs @ 16" O.C.</t>
  </si>
  <si>
    <t xml:space="preserve">4" Metal Runner Track @ Top &amp; Bottom </t>
  </si>
  <si>
    <t>3-5/8" Metal Studs Mid Wall Blocking</t>
  </si>
  <si>
    <t>WALL TYPE - E3</t>
  </si>
  <si>
    <t>2-1/2" Metal Studs @ 16" O.C.</t>
  </si>
  <si>
    <t xml:space="preserve">2-1/2" Metal Runner Track @ Top &amp; Bottom </t>
  </si>
  <si>
    <t>WALL TYPE - F1</t>
  </si>
  <si>
    <t>(2) Layers of 5/8" Type"X" Gypsum Board on One Side of Wall</t>
  </si>
  <si>
    <t>1 Layer of 5/8" Type"X" Gypsum Sheathing</t>
  </si>
  <si>
    <t>WALL TYPE - F1.B</t>
  </si>
  <si>
    <t>WALL TYPE - G1</t>
  </si>
  <si>
    <t>6" Metal Studs @ 16" O.C.</t>
  </si>
  <si>
    <t xml:space="preserve">6" Metal Runner Track @ Top &amp; Bottom </t>
  </si>
  <si>
    <t>WALL TYPE - G2</t>
  </si>
  <si>
    <t>WALL TYPE - H1</t>
  </si>
  <si>
    <t>WALL TYPE - H2</t>
  </si>
  <si>
    <t>8" Metal Studs @ 16" O.C.</t>
  </si>
  <si>
    <t xml:space="preserve">8" Metal Runner Track @ Top &amp; Bottom </t>
  </si>
  <si>
    <t>WALL TYPE - N1</t>
  </si>
  <si>
    <t>WALL TYPE - J1</t>
  </si>
  <si>
    <t>6" Metal Studs @ 24" O.C.</t>
  </si>
  <si>
    <t>Assemblies/A9.20</t>
  </si>
  <si>
    <t>1" R-5 Rigid Insulation</t>
  </si>
  <si>
    <t>1 Layer of 5/8" Type"X" Gypsum Board Sheathing</t>
  </si>
  <si>
    <t>WALL TYPE - X1A &amp; X1C</t>
  </si>
  <si>
    <t>EXTERIOR WALLS - WOOD FRAMED XE1-5 &amp; XG</t>
  </si>
  <si>
    <t>EXTERIOR WALLS - WOOD FRAMED XP1</t>
  </si>
  <si>
    <t>Assembly-1/A9.25</t>
  </si>
  <si>
    <t>Assembly-2/A9.25</t>
  </si>
  <si>
    <t>Assembly-3/A9.25</t>
  </si>
  <si>
    <t>Assembly-4/A9.25</t>
  </si>
  <si>
    <t>DROPPED GWB CEILING</t>
  </si>
  <si>
    <t>Dropped GWB Ceiling Sub Total</t>
  </si>
  <si>
    <t>Assembly-1&amp;4
/A9.60</t>
  </si>
  <si>
    <t>Detail 2/A9.31</t>
  </si>
  <si>
    <r>
      <rPr>
        <b/>
        <sz val="12"/>
        <rFont val="Calibri"/>
        <family val="2"/>
        <scheme val="minor"/>
      </rPr>
      <t>Dropped GWB Soffit &amp; Fascia As;</t>
    </r>
    <r>
      <rPr>
        <sz val="12"/>
        <rFont val="Calibri"/>
        <family val="2"/>
        <scheme val="minor"/>
      </rPr>
      <t xml:space="preserve">
- (1) Layer of 5/8" Type"X" Gypsum Board Ceiling
- 4" x 22GA. Metal Studs @ 24" O.C.
- Diagonal Bracing @ 48" O.C.</t>
    </r>
  </si>
  <si>
    <r>
      <rPr>
        <b/>
        <sz val="12"/>
        <rFont val="Calibri"/>
        <family val="2"/>
        <scheme val="minor"/>
      </rPr>
      <t>Entrance Canopy Assembly As;</t>
    </r>
    <r>
      <rPr>
        <sz val="12"/>
        <rFont val="Calibri"/>
        <family val="2"/>
        <scheme val="minor"/>
      </rPr>
      <t xml:space="preserve">
- (1) Layer of 5/8" Type"X" Gypsum Sheathing
- 4" Metal Studs @ 12" O.C. Weld to Steel Beam
- 1" Furring Channels O/
- Weather Resistive Barrier
- Purlin Channels</t>
    </r>
  </si>
  <si>
    <t>CEMENT PLASTER SYSTEM</t>
  </si>
  <si>
    <r>
      <rPr>
        <b/>
        <sz val="12"/>
        <rFont val="Calibri"/>
        <family val="2"/>
        <scheme val="minor"/>
      </rPr>
      <t>PT-1 Cement Plaster System As;</t>
    </r>
    <r>
      <rPr>
        <sz val="12"/>
        <rFont val="Calibri"/>
        <family val="2"/>
        <scheme val="minor"/>
      </rPr>
      <t xml:space="preserve">
- 7/8" Exterior Cement Plaster O/
- Lath O/ (2) Layers Building Papers
Color: Dunn Edwards-Cottage White</t>
    </r>
  </si>
  <si>
    <t>Finish Legend/A3.01</t>
  </si>
  <si>
    <t>A3.01-A3.03</t>
  </si>
  <si>
    <r>
      <rPr>
        <b/>
        <sz val="12"/>
        <rFont val="Calibri"/>
        <family val="2"/>
        <scheme val="minor"/>
      </rPr>
      <t>PT-2 Cement Plaster System As;</t>
    </r>
    <r>
      <rPr>
        <sz val="12"/>
        <rFont val="Calibri"/>
        <family val="2"/>
        <scheme val="minor"/>
      </rPr>
      <t xml:space="preserve">
- 7/8" Exterior Cement Plaster O/
- Lath O/ (2) Layers Building Papers
Color: Dunn Edwards-Charcoal Smudge</t>
    </r>
  </si>
  <si>
    <r>
      <rPr>
        <b/>
        <sz val="12"/>
        <rFont val="Calibri"/>
        <family val="2"/>
        <scheme val="minor"/>
      </rPr>
      <t>PT-1 Cement Plaster System As;</t>
    </r>
    <r>
      <rPr>
        <sz val="12"/>
        <rFont val="Calibri"/>
        <family val="2"/>
        <scheme val="minor"/>
      </rPr>
      <t xml:space="preserve">
- 7/8" Exterior Cement Plaster O/
- Lath O/ (2) Layers Building Papers
Color: Dunn Edwards-Clean Slate</t>
    </r>
  </si>
  <si>
    <t>METAL PANEL SYSTEM</t>
  </si>
  <si>
    <r>
      <rPr>
        <b/>
        <sz val="12"/>
        <rFont val="Calibri"/>
        <family val="2"/>
        <scheme val="minor"/>
      </rPr>
      <t>MT-1,2,3 Concealed Metal Panel System</t>
    </r>
    <r>
      <rPr>
        <sz val="12"/>
        <rFont val="Calibri"/>
        <family val="2"/>
        <scheme val="minor"/>
      </rPr>
      <t xml:space="preserve">
Description: Morin_3 Shades of Blue</t>
    </r>
  </si>
  <si>
    <t>TPO Roofing Sub Total</t>
  </si>
  <si>
    <t>Detail 2/A9.25</t>
  </si>
  <si>
    <t>A2.21,A2.41 &amp; A2.50</t>
  </si>
  <si>
    <t>Detail 4/A9.25</t>
  </si>
  <si>
    <r>
      <rPr>
        <b/>
        <sz val="12"/>
        <rFont val="Calibri"/>
        <family val="2"/>
        <scheme val="minor"/>
      </rPr>
      <t>TPO Roofing Membrane System O/</t>
    </r>
    <r>
      <rPr>
        <sz val="12"/>
        <rFont val="Calibri"/>
        <family val="2"/>
        <scheme val="minor"/>
      </rPr>
      <t xml:space="preserve">
- 15# Felt Paper
- Acoustimat 3/8" Premium Underlayment OR Equal
- Waterproofing Assembly</t>
    </r>
  </si>
  <si>
    <r>
      <rPr>
        <b/>
        <sz val="12"/>
        <rFont val="Calibri"/>
        <family val="2"/>
        <scheme val="minor"/>
      </rPr>
      <t>TPO Roofing Membrane System O/</t>
    </r>
    <r>
      <rPr>
        <sz val="12"/>
        <rFont val="Calibri"/>
        <family val="2"/>
        <scheme val="minor"/>
      </rPr>
      <t xml:space="preserve">
- Protection Board
- Insulation</t>
    </r>
  </si>
  <si>
    <r>
      <rPr>
        <b/>
        <sz val="12"/>
        <rFont val="Calibri"/>
        <family val="2"/>
        <scheme val="minor"/>
      </rPr>
      <t>TPO Roofing Membrane System @ Parpet Walls O/</t>
    </r>
    <r>
      <rPr>
        <sz val="12"/>
        <rFont val="Calibri"/>
        <family val="2"/>
        <scheme val="minor"/>
      </rPr>
      <t xml:space="preserve">
- Protection Board</t>
    </r>
  </si>
  <si>
    <t>Detail 3/A9.40</t>
  </si>
  <si>
    <t>ROOF METAL PANEL SYSTEM</t>
  </si>
  <si>
    <t>Morin Roof Metal Panel System @ Entrance Canopy</t>
  </si>
  <si>
    <t>Roof Metal Panel System Sub Total</t>
  </si>
  <si>
    <t>A2.12</t>
  </si>
  <si>
    <t>Overflow Drain</t>
  </si>
  <si>
    <t>4LB. Lead Flashing</t>
  </si>
  <si>
    <t>Details/A9.40</t>
  </si>
  <si>
    <t>Sheet Metal Flashing</t>
  </si>
  <si>
    <t>Base Flashing</t>
  </si>
  <si>
    <t>Flashing @ Roof Vent</t>
  </si>
  <si>
    <t>Thru Wall Flashing @ Roof to Wall Transitions</t>
  </si>
  <si>
    <t>ROOF</t>
  </si>
  <si>
    <t>PARKING FLOOR</t>
  </si>
  <si>
    <t>WALL TYPE - C1 CORRIDOR WALLS</t>
  </si>
  <si>
    <t>WALL TYPE - C1 DEMISING WALLS</t>
  </si>
  <si>
    <t>WALL TYPE - C3 CORRIDOR WALL</t>
  </si>
  <si>
    <t>WALL TYPE - C3 DEMISING WALL</t>
  </si>
  <si>
    <t>SECOND FLOOR</t>
  </si>
  <si>
    <t xml:space="preserve">1 Layer of 5/8" Type"X" Moisture Resistant Gypsum Board On Both Sides of Wall </t>
  </si>
  <si>
    <t>1 Layer of 5/8" Type"X" Moisture Resistant Gypsum Board on One Side of Wall</t>
  </si>
  <si>
    <t>PARAPET WALLS</t>
  </si>
  <si>
    <t>Detail 13/A9.30</t>
  </si>
  <si>
    <t>THIRD FLOOR</t>
  </si>
  <si>
    <t>Detail 8/A9.30</t>
  </si>
  <si>
    <t>FOURTH FLOOR</t>
  </si>
  <si>
    <r>
      <rPr>
        <b/>
        <sz val="12"/>
        <rFont val="Calibri"/>
        <family val="2"/>
        <scheme val="minor"/>
      </rPr>
      <t>GWB Wrap @ Beams As;</t>
    </r>
    <r>
      <rPr>
        <sz val="12"/>
        <rFont val="Calibri"/>
        <family val="2"/>
        <scheme val="minor"/>
      </rPr>
      <t xml:space="preserve">
- (1) Layer of 5/8" Type"X" Gypsum Board</t>
    </r>
  </si>
  <si>
    <t>Detail 1/A4.13</t>
  </si>
  <si>
    <r>
      <rPr>
        <b/>
        <sz val="12"/>
        <rFont val="Calibri"/>
        <family val="2"/>
        <scheme val="minor"/>
      </rPr>
      <t>GWB Ceiling @ Stairs As;</t>
    </r>
    <r>
      <rPr>
        <sz val="12"/>
        <rFont val="Calibri"/>
        <family val="2"/>
        <scheme val="minor"/>
      </rPr>
      <t xml:space="preserve">
- (1) Layer of 5/8" Type"X" Gypsum Board</t>
    </r>
  </si>
  <si>
    <t>Detail/A9.70</t>
  </si>
  <si>
    <t>A7.01-A7.02</t>
  </si>
  <si>
    <t>Paint On Exposed Ceiling</t>
  </si>
  <si>
    <r>
      <rPr>
        <b/>
        <sz val="12"/>
        <rFont val="Calibri"/>
        <family val="2"/>
        <scheme val="minor"/>
      </rPr>
      <t>PT-1 Cement Plaster System @ Exterior Soffit As;</t>
    </r>
    <r>
      <rPr>
        <sz val="12"/>
        <rFont val="Calibri"/>
        <family val="2"/>
        <scheme val="minor"/>
      </rPr>
      <t xml:space="preserve">
- 7/8" Exterior Cement Plaster O/
- Lath O/ (2) Layers Building Papers O/
- 2-1/2" Metal Framing
Color: Dunn Edwards-Cottage White</t>
    </r>
  </si>
  <si>
    <r>
      <rPr>
        <b/>
        <sz val="12"/>
        <rFont val="Calibri"/>
        <family val="2"/>
        <scheme val="minor"/>
      </rPr>
      <t>PT-2 Cement Plaster System @ Exterior Soffit As;</t>
    </r>
    <r>
      <rPr>
        <sz val="12"/>
        <rFont val="Calibri"/>
        <family val="2"/>
        <scheme val="minor"/>
      </rPr>
      <t xml:space="preserve">
- 7/8" Exterior Cement Plaster O/
- Lath O/ (2) Layers Building Papers O/
- 2-1/2" Metal Framing
Color: Dunn Edwards-Charcoal Smudge</t>
    </r>
  </si>
  <si>
    <t>Suppers &amp; Downspouts</t>
  </si>
  <si>
    <t>Flashing @ Vent Pipes</t>
  </si>
  <si>
    <t>Flashing @ Roof Equipments</t>
  </si>
  <si>
    <t>22GA. Cover Sheet Metal @ All Edges</t>
  </si>
  <si>
    <t>Self Adhering Butyl Flashing</t>
  </si>
  <si>
    <t>Membrane Flashing Strip</t>
  </si>
  <si>
    <t>A-8.11</t>
  </si>
  <si>
    <t>Window Schedule/A8.11</t>
  </si>
  <si>
    <t>STOREFRONT</t>
  </si>
  <si>
    <t>A-8.12</t>
  </si>
  <si>
    <r>
      <rPr>
        <b/>
        <sz val="12"/>
        <rFont val="Calibri"/>
        <family val="2"/>
        <scheme val="minor"/>
      </rPr>
      <t>Fixed Windows (28 EA)</t>
    </r>
    <r>
      <rPr>
        <sz val="12"/>
        <rFont val="Calibri"/>
        <family val="2"/>
        <scheme val="minor"/>
      </rPr>
      <t xml:space="preserve">
Size: 2'-6" x 5'-0"
Material: Vinyl</t>
    </r>
  </si>
  <si>
    <r>
      <rPr>
        <b/>
        <sz val="12"/>
        <rFont val="Calibri"/>
        <family val="2"/>
        <scheme val="minor"/>
      </rPr>
      <t>Single Hung Windows (179 EA)</t>
    </r>
    <r>
      <rPr>
        <sz val="12"/>
        <rFont val="Calibri"/>
        <family val="2"/>
        <scheme val="minor"/>
      </rPr>
      <t xml:space="preserve">
Size: 3'-0" x 5'-0"
Material: Vinyl</t>
    </r>
  </si>
  <si>
    <r>
      <rPr>
        <b/>
        <sz val="12"/>
        <rFont val="Calibri"/>
        <family val="2"/>
        <scheme val="minor"/>
      </rPr>
      <t>Fixed Windows (10 EA)</t>
    </r>
    <r>
      <rPr>
        <sz val="12"/>
        <rFont val="Calibri"/>
        <family val="2"/>
        <scheme val="minor"/>
      </rPr>
      <t xml:space="preserve">
Size: 2'-6" x 6'-0"
Material: Vinyl</t>
    </r>
  </si>
  <si>
    <r>
      <rPr>
        <b/>
        <sz val="12"/>
        <rFont val="Calibri"/>
        <family val="2"/>
        <scheme val="minor"/>
      </rPr>
      <t>Fixed Windows (04 EA)</t>
    </r>
    <r>
      <rPr>
        <sz val="12"/>
        <rFont val="Calibri"/>
        <family val="2"/>
        <scheme val="minor"/>
      </rPr>
      <t xml:space="preserve">
Size: 2'-0" x 2'-6"
Material: Vinyl</t>
    </r>
  </si>
  <si>
    <r>
      <rPr>
        <b/>
        <sz val="12"/>
        <rFont val="Calibri"/>
        <family val="2"/>
        <scheme val="minor"/>
      </rPr>
      <t>Single Hung Windows (08 EA)</t>
    </r>
    <r>
      <rPr>
        <sz val="12"/>
        <rFont val="Calibri"/>
        <family val="2"/>
        <scheme val="minor"/>
      </rPr>
      <t xml:space="preserve">
Size: 4'-2" x 5'-0"
Material: Vinyl</t>
    </r>
  </si>
  <si>
    <r>
      <rPr>
        <b/>
        <sz val="12"/>
        <rFont val="Calibri"/>
        <family val="2"/>
        <scheme val="minor"/>
      </rPr>
      <t>Fixed/Sliding Windows (21 EA)</t>
    </r>
    <r>
      <rPr>
        <sz val="12"/>
        <rFont val="Calibri"/>
        <family val="2"/>
        <scheme val="minor"/>
      </rPr>
      <t xml:space="preserve">
Size: 6'-0" x 4'-7"
Material: Vinyl</t>
    </r>
  </si>
  <si>
    <r>
      <rPr>
        <b/>
        <sz val="12"/>
        <rFont val="Calibri"/>
        <family val="2"/>
        <scheme val="minor"/>
      </rPr>
      <t>Fixed/Sliding Windows (17 EA)</t>
    </r>
    <r>
      <rPr>
        <sz val="12"/>
        <rFont val="Calibri"/>
        <family val="2"/>
        <scheme val="minor"/>
      </rPr>
      <t xml:space="preserve">
Size: 5'-0" x 6'-0"
Material: Vinyl</t>
    </r>
  </si>
  <si>
    <r>
      <rPr>
        <b/>
        <sz val="12"/>
        <rFont val="Calibri"/>
        <family val="2"/>
        <scheme val="minor"/>
      </rPr>
      <t>Fixed/Sliding Windows (15 EA)</t>
    </r>
    <r>
      <rPr>
        <sz val="12"/>
        <rFont val="Calibri"/>
        <family val="2"/>
        <scheme val="minor"/>
      </rPr>
      <t xml:space="preserve">
Size: 6'-0" x 6'-0"
Material: Vinyl</t>
    </r>
  </si>
  <si>
    <r>
      <rPr>
        <b/>
        <sz val="12"/>
        <rFont val="Calibri"/>
        <family val="2"/>
        <scheme val="minor"/>
      </rPr>
      <t>Fixed/Sliding Windows (04 EA)</t>
    </r>
    <r>
      <rPr>
        <sz val="12"/>
        <rFont val="Calibri"/>
        <family val="2"/>
        <scheme val="minor"/>
      </rPr>
      <t xml:space="preserve">
Size: 6'-0" x 7'-6"
Material: Vinyl</t>
    </r>
  </si>
  <si>
    <r>
      <rPr>
        <b/>
        <sz val="12"/>
        <rFont val="Calibri"/>
        <family val="2"/>
        <scheme val="minor"/>
      </rPr>
      <t>Fixed Windows (09 EA)</t>
    </r>
    <r>
      <rPr>
        <sz val="12"/>
        <rFont val="Calibri"/>
        <family val="2"/>
        <scheme val="minor"/>
      </rPr>
      <t xml:space="preserve">
Size: 2'-6" x 2'-6"
Material: Vinyl</t>
    </r>
  </si>
  <si>
    <r>
      <rPr>
        <b/>
        <sz val="12"/>
        <rFont val="Calibri"/>
        <family val="2"/>
        <scheme val="minor"/>
      </rPr>
      <t>ST-1-10 Storefront</t>
    </r>
    <r>
      <rPr>
        <sz val="12"/>
        <rFont val="Calibri"/>
        <family val="2"/>
        <scheme val="minor"/>
      </rPr>
      <t xml:space="preserve">
Model# AFG 451T</t>
    </r>
  </si>
  <si>
    <t>ALUMINUM DOORS</t>
  </si>
  <si>
    <t>Single Panel Doors
Size: 3'-0" x 7'-0"
Door Material: Aluminum/Glass
Frame Material: Aluminum</t>
  </si>
  <si>
    <t>A-8.10</t>
  </si>
  <si>
    <t>Door Schedule/A8.10</t>
  </si>
  <si>
    <t>Double Panel Doors
Size: 6'-0" x 7'-0"
Door Material: Aluminum/Glass
Frame Material: Aluminum</t>
  </si>
  <si>
    <t>HOLLOW METAL DOORS</t>
  </si>
  <si>
    <t>Single Panel Doors
Size: 3'-0" x 7'-0"
Door &amp; Frame Material: Hollow Metal</t>
  </si>
  <si>
    <t>Double Panel Doors
Size: 6'-0" x 7'-0"
Door &amp; Frame Material: Hollow Metal</t>
  </si>
  <si>
    <t>Single Panel Doors
Size: 2'-0" x 7'-0"
Door &amp; Frame Material: Hollow Metal</t>
  </si>
  <si>
    <t>STEEL DOORS</t>
  </si>
  <si>
    <t>Parking Doors
Size: 17'-0" x 8'-6"
Door &amp; Frame Material: Steel</t>
  </si>
  <si>
    <t>Parking Doors
Size: 18'-0" x 8'-6"
Door &amp; Frame Material: Steel</t>
  </si>
  <si>
    <t>WOOD DOORS</t>
  </si>
  <si>
    <t>Double Panel Doors
Size: 4'-0" x 6'-8"
Door Material: Hollow Core Wood
Frame Material: Wood</t>
  </si>
  <si>
    <t>Double Panel Doors
Size: 5'-0" x 6'-8"
Door Material: Hollow Core Wood
Frame Material: Wood</t>
  </si>
  <si>
    <t>Double Panel Doors
Size: 6'-0" x 6'-8"
Door Material: Hollow Core Wood
Frame Material: Wood</t>
  </si>
  <si>
    <t>Double Panel Doors
Size: 8'-0" x 6'-8"
Door Material: Hollow Core Wood
Frame Material: Wood</t>
  </si>
  <si>
    <t>Single Panel Doors
Size: 2'-0" x 6'-8"
Door Material: Hollow Core Wood
Frame Material: Wood</t>
  </si>
  <si>
    <t>Single Panel Doors
Size: 3'-0" x 7'-0"
Door Material: Solid Core Wood
Frame Material: Hollow Metal</t>
  </si>
  <si>
    <t>Single Panel Doors
Size: 3'-0" x 6'-8"
Door Material: Hollow Core Wood
Frame Material: Wood</t>
  </si>
  <si>
    <t>Double Panel Doors
Size: 6'-0" x 6'-8"
Door &amp; Frame Material: Fiber Glass</t>
  </si>
  <si>
    <t>Rev0</t>
  </si>
  <si>
    <t>LUMBER</t>
  </si>
  <si>
    <t>QTY.</t>
  </si>
  <si>
    <t>LABOR 
UNIT COST</t>
  </si>
  <si>
    <t>MATERIAL UNIT  COST</t>
  </si>
  <si>
    <t>TOTAL LABOR</t>
  </si>
  <si>
    <t>TOTAL MATERIAL</t>
  </si>
  <si>
    <t>REMARKS</t>
  </si>
  <si>
    <t>Exterior Wall Framing @ 1st Floor (506 LF):</t>
  </si>
  <si>
    <t>2x6x16' #2 pt</t>
  </si>
  <si>
    <t>Bottom Plate</t>
  </si>
  <si>
    <t>2x6x116-5/8" #2 DF</t>
  </si>
  <si>
    <t>Wall Studs @ 16" O.C.</t>
  </si>
  <si>
    <t>2x6x16' #2 DF</t>
  </si>
  <si>
    <t>Double Top plate and mid span blocking</t>
  </si>
  <si>
    <t>15/32" Structural I Exterior OSB 4x8</t>
  </si>
  <si>
    <t>Exterior Wall Sheathing</t>
  </si>
  <si>
    <t>Corridor Wall Framing @ 1st Floor (379 LF):</t>
  </si>
  <si>
    <t>2x8x16' #2 pt</t>
  </si>
  <si>
    <t>2x8x116-5/8" #2 DF</t>
  </si>
  <si>
    <t>2x8x16' #2 DF</t>
  </si>
  <si>
    <t>Shear Wall Sheathing</t>
  </si>
  <si>
    <t>Unit Separation Wall Framing @ 1st Floor (182 LF):</t>
  </si>
  <si>
    <t>Top plate and mid span blocking</t>
  </si>
  <si>
    <t>Interior Wall Framing @ 1st Floor (963 LF):</t>
  </si>
  <si>
    <t>3x4x16' #2 pt</t>
  </si>
  <si>
    <t>3x4x104-5/8" #2 DF</t>
  </si>
  <si>
    <t>2x6x104-5/8" #2 DF</t>
  </si>
  <si>
    <t>2x4x16' #2 DF</t>
  </si>
  <si>
    <t>Headers/Beams/Posts @ 2nd Floor Framing:</t>
  </si>
  <si>
    <t>4x10x16' #1 DF</t>
  </si>
  <si>
    <t>Headers @ Openings</t>
  </si>
  <si>
    <t>6x8x16' #1 DF</t>
  </si>
  <si>
    <t>4x8x8' #1 DF</t>
  </si>
  <si>
    <t>6x10x12' #1 DF</t>
  </si>
  <si>
    <t>6x12x16' #1 DF</t>
  </si>
  <si>
    <t>5-1/2"x9-1/4" PSL 2.2 (9/16')</t>
  </si>
  <si>
    <t>5-1/2"x11-1/4" PSL 2.2 (1/10')</t>
  </si>
  <si>
    <t>3-1/2"x14" PSL 2.2 (7/16')</t>
  </si>
  <si>
    <t>7"x14" PSL 2.2 (6/16')</t>
  </si>
  <si>
    <t>4x12x10' #1 DF</t>
  </si>
  <si>
    <t>6x14x16' #1 DF</t>
  </si>
  <si>
    <t>4x4x10' #1 DF</t>
  </si>
  <si>
    <t>Post</t>
  </si>
  <si>
    <t>4x6x10' #1 DF</t>
  </si>
  <si>
    <t>4x8x10' #1 DF</t>
  </si>
  <si>
    <t>4x10x10' #1 DF</t>
  </si>
  <si>
    <t>6x6x10' #1 DF</t>
  </si>
  <si>
    <t>6x8x10' #1 DF</t>
  </si>
  <si>
    <t>6x10x10' #1 DF</t>
  </si>
  <si>
    <t>Sub Floor Framing/Decking @ 2nd Floor:</t>
  </si>
  <si>
    <t>Blocking/Strongback/Nailer</t>
  </si>
  <si>
    <t>Blocking</t>
  </si>
  <si>
    <t>2x8x8' #2 DF</t>
  </si>
  <si>
    <t>Corridor Joists</t>
  </si>
  <si>
    <t>2x8x12' #2 DF</t>
  </si>
  <si>
    <t>2x8x14' #2 DF</t>
  </si>
  <si>
    <t>Ledger</t>
  </si>
  <si>
    <t>2x12x10' #2 DF</t>
  </si>
  <si>
    <t>Floor Joists</t>
  </si>
  <si>
    <t>2x12x12' #2 DF</t>
  </si>
  <si>
    <t>2x12x14' #2 DF</t>
  </si>
  <si>
    <t>2x12x16' #2 DF</t>
  </si>
  <si>
    <t>2x12x18' #2 DF</t>
  </si>
  <si>
    <t>2x12x20' #2 DF</t>
  </si>
  <si>
    <t>1-3/4"x14"x8' LVL</t>
  </si>
  <si>
    <t>1-3/4"x14"x18' LVL</t>
  </si>
  <si>
    <t>1-3/4"x14"x22' LVL</t>
  </si>
  <si>
    <t>19/32" T&amp;G OSB 4x8</t>
  </si>
  <si>
    <t>Floor Sheathing</t>
  </si>
  <si>
    <t>29oz Adhesive</t>
  </si>
  <si>
    <t>Adhesive</t>
  </si>
  <si>
    <t>Exterior Wall Framing @ 2nd Floor (1051 LF):</t>
  </si>
  <si>
    <t>2x4x16' #2 pt</t>
  </si>
  <si>
    <t>2x4x104-5/8" #2 DF</t>
  </si>
  <si>
    <t>2x8x104-5/8" #2 DF</t>
  </si>
  <si>
    <t>Corridor Wall Framing @ 2nd Floor (815 LF):</t>
  </si>
  <si>
    <t>Unit Separation Wall Framing @ 2nd Floor (434 LF):</t>
  </si>
  <si>
    <t>Unit Separation Wall Sheathing</t>
  </si>
  <si>
    <t>Interior Wall Framing @2nd Floor (996 LF):</t>
  </si>
  <si>
    <t>3x4x16' #2 DF</t>
  </si>
  <si>
    <t>Parapet Wall Framing @ 2nd Floor (148 LF):</t>
  </si>
  <si>
    <t>2x6x12' #2 DF</t>
  </si>
  <si>
    <t>Headers/Beams @ 3rd Floor Framing:</t>
  </si>
  <si>
    <t>4x8x16' #1 DF</t>
  </si>
  <si>
    <t>3-1/2"x9-1/4" PSL 2.2 (2/16')</t>
  </si>
  <si>
    <t>5-1/2"x9-1/4" PSL 2.2 (15/16')</t>
  </si>
  <si>
    <t>5-1/2"x11-1/4" PSL 2.2 (13/16')</t>
  </si>
  <si>
    <t>7"x11-1/4" PSL 2.2 (1/16')</t>
  </si>
  <si>
    <t>Sub Floor Framing/Decking @ 3rd Floor:</t>
  </si>
  <si>
    <t>2x8x10' #2 DF</t>
  </si>
  <si>
    <t>2x12x8' #2 DF</t>
  </si>
  <si>
    <t>1-3/4"x14"x10' LVL</t>
  </si>
  <si>
    <t>1-3/4"x14"x12' LVL</t>
  </si>
  <si>
    <t>1-3/4"x14"x14' LVL</t>
  </si>
  <si>
    <t>Exterior Wall Framing @ 3rd Floor (1048 LF):</t>
  </si>
  <si>
    <t>Corridor Wall Framing @ 3rd Floor (810 LF):</t>
  </si>
  <si>
    <t>Unit Separation Wall Framing @ 3rd Floor (407 LF):</t>
  </si>
  <si>
    <t>Interior Wall Framing @ 3rd Floor (2160 LF):</t>
  </si>
  <si>
    <t>Parapet Wall Framing @ 3rd Floor (177 LF):</t>
  </si>
  <si>
    <t>Headers/Beams @ 4th Floor Framing:</t>
  </si>
  <si>
    <t>4x6x8' #1 DF</t>
  </si>
  <si>
    <t>6x6x16' #1 DF</t>
  </si>
  <si>
    <t>5-1/2"x9-1/4" PSL 2.2 (8/16')</t>
  </si>
  <si>
    <t>5-1/2"x11-1/4" PSL 2.2 (8/16')</t>
  </si>
  <si>
    <t>3-1/2"x14" PSL 2.2 (11/16')</t>
  </si>
  <si>
    <t>4x12x16' #1 DF</t>
  </si>
  <si>
    <t>7"x11-1/4" PSL 2.2 (2/16')</t>
  </si>
  <si>
    <t>Sub Floor Framing/Decking @ 4th Floor:</t>
  </si>
  <si>
    <t>2x8x18' #2 DF</t>
  </si>
  <si>
    <t>2x8x20' #2 DF</t>
  </si>
  <si>
    <t>2x14x10' #1 DF</t>
  </si>
  <si>
    <t>2x14x12' #1 DF</t>
  </si>
  <si>
    <t>2x14x14' #1 DF</t>
  </si>
  <si>
    <t>2x14x16' #1 DF</t>
  </si>
  <si>
    <t>2x14x18' #1 DF</t>
  </si>
  <si>
    <t>2x14x20' #1 DF</t>
  </si>
  <si>
    <t>Exterior Wall Framing @ 4th Floor (794 LF):</t>
  </si>
  <si>
    <t>Corridor Wall Framing @ 4th Floor (556 LF):</t>
  </si>
  <si>
    <t>Unit Separation Wall Framing @ 4th Floor (238 LF):</t>
  </si>
  <si>
    <t>Interior Wall Framing @ 4th Floor (2160 LF):</t>
  </si>
  <si>
    <t>Parapet Wall Framing @ 4th Floor (747 LF):</t>
  </si>
  <si>
    <t>Headers/Beams/Post @ Roof Framing:</t>
  </si>
  <si>
    <t>Beams</t>
  </si>
  <si>
    <t>4x14x16' #1 DF</t>
  </si>
  <si>
    <t>6x10x16' #1 DF</t>
  </si>
  <si>
    <t>Parapet Wall Framing @ Roof:</t>
  </si>
  <si>
    <t>2x4x12' #2 DF</t>
  </si>
  <si>
    <t>Roof Framing/Decking @ 3rd Floor:</t>
  </si>
  <si>
    <t>Rafters</t>
  </si>
  <si>
    <t>Plates</t>
  </si>
  <si>
    <t>19/32" CDX OSB 4x8</t>
  </si>
  <si>
    <t>Roof Sheathing</t>
  </si>
  <si>
    <t>19/32" Clips</t>
  </si>
  <si>
    <t>Clips</t>
  </si>
  <si>
    <t>Simpson Strong Tie Allowance:</t>
  </si>
  <si>
    <t>Note: 10% Wastage is figured with all quantities</t>
  </si>
  <si>
    <t>Total Labor</t>
  </si>
  <si>
    <t>Total Material</t>
  </si>
  <si>
    <t>Total Lumber</t>
  </si>
  <si>
    <t>TRUSSES</t>
  </si>
  <si>
    <t>Trusses:</t>
  </si>
  <si>
    <t>Truss (8' Long)</t>
  </si>
  <si>
    <t>Trusses @ 24" O.C</t>
  </si>
  <si>
    <t>Truss (11' Long)</t>
  </si>
  <si>
    <t>Truss (13' Long)</t>
  </si>
  <si>
    <t>Truss (15' Long)</t>
  </si>
  <si>
    <t>Truss (18' Long)</t>
  </si>
  <si>
    <t>Truss (19' Long)</t>
  </si>
  <si>
    <t>Truss (21' Long)</t>
  </si>
  <si>
    <t>Truss (23' Long)</t>
  </si>
  <si>
    <t>Truss (24' Long)</t>
  </si>
  <si>
    <t>Truss (25' Long)</t>
  </si>
  <si>
    <t>Truss (26' Long)</t>
  </si>
  <si>
    <t>Truss (27' Long)</t>
  </si>
  <si>
    <t>Truss (28' Long)</t>
  </si>
  <si>
    <t>Truss (30' Long)</t>
  </si>
  <si>
    <t>Truss (31' Long)</t>
  </si>
  <si>
    <t>Truss (32' Long)</t>
  </si>
  <si>
    <t>Truss (33' Long)</t>
  </si>
  <si>
    <t>Truss (34' Long)</t>
  </si>
  <si>
    <t>Truss (35' Long)</t>
  </si>
  <si>
    <t>Truss (36' Long)</t>
  </si>
  <si>
    <t>Drag Truss (33' Long)</t>
  </si>
  <si>
    <t>Total Trusses</t>
  </si>
  <si>
    <t>HSS5x5x1/8 (81 LF) (09 EA Column)</t>
  </si>
  <si>
    <t>LB</t>
  </si>
  <si>
    <t>W-BEAMS</t>
  </si>
  <si>
    <t>W6x15 (9.8 LF) Beam</t>
  </si>
  <si>
    <t>A2.01-A2.41</t>
  </si>
  <si>
    <t>Finish Schedule</t>
  </si>
  <si>
    <t>WALL BASE</t>
  </si>
  <si>
    <t>Wall Base Sub Total</t>
  </si>
  <si>
    <t>CARPET FLOORING</t>
  </si>
  <si>
    <t>Carpet Flooring Sub Total</t>
  </si>
  <si>
    <t>VINYL FLOORING</t>
  </si>
  <si>
    <t>Assumed</t>
  </si>
  <si>
    <t>Vinyl Flooring Sub Total</t>
  </si>
  <si>
    <t>SEALED CONCERETE</t>
  </si>
  <si>
    <t>Sealed Concrete Flooring</t>
  </si>
  <si>
    <t>Sealed Concrete Sub Total</t>
  </si>
  <si>
    <t>A6.03-A6.04</t>
  </si>
  <si>
    <t>Keynote Legends</t>
  </si>
  <si>
    <r>
      <t>24" Grab Bars</t>
    </r>
    <r>
      <rPr>
        <b/>
        <sz val="12"/>
        <rFont val="Calibri"/>
        <family val="2"/>
        <scheme val="minor"/>
      </rPr>
      <t/>
    </r>
  </si>
  <si>
    <r>
      <t>36" Towel Grab Bars</t>
    </r>
    <r>
      <rPr>
        <b/>
        <sz val="12"/>
        <rFont val="Calibri"/>
        <family val="2"/>
        <scheme val="minor"/>
      </rPr>
      <t/>
    </r>
  </si>
  <si>
    <r>
      <t>12" Grab Bars</t>
    </r>
    <r>
      <rPr>
        <b/>
        <sz val="12"/>
        <rFont val="Calibri"/>
        <family val="2"/>
        <scheme val="minor"/>
      </rPr>
      <t/>
    </r>
  </si>
  <si>
    <t>Mirror
Size:2'-0"x3'-0"</t>
  </si>
  <si>
    <t>Medicine Cabinet
Size:1'-6"x2'-8"</t>
  </si>
  <si>
    <t>Toilet Seat Cover Dispenser</t>
  </si>
  <si>
    <t>Sanitary Napkin Disposal</t>
  </si>
  <si>
    <t>Tub Bath Seat</t>
  </si>
  <si>
    <t>MAIL BOXES</t>
  </si>
  <si>
    <t>A6.05</t>
  </si>
  <si>
    <t>Mail Boxes
Size: 2'-9"x3'-4"</t>
  </si>
  <si>
    <t>Mail Boxes Sub Total</t>
  </si>
  <si>
    <t>FIRE EXTINGUISHER AND CABINET</t>
  </si>
  <si>
    <t>Fire Extinguisher &amp; Cabinet</t>
  </si>
  <si>
    <t>FECs Sub Total</t>
  </si>
  <si>
    <t>Appliances Sub Total</t>
  </si>
  <si>
    <t>EQUIPMENTS</t>
  </si>
  <si>
    <t>A6.01-A6.05</t>
  </si>
  <si>
    <t>1'-0"D X 1'-6" H Upper Cabinet</t>
  </si>
  <si>
    <t>1'-0"D X 1'-7" H Upper Cabinet</t>
  </si>
  <si>
    <t>1'-0"D X 2'-0" H Upper Cabinet</t>
  </si>
  <si>
    <t>1'-0"D X 2'-6" H Upper Cabinet</t>
  </si>
  <si>
    <t>1'-0"D X 3'-2" H Upper Cabinet</t>
  </si>
  <si>
    <t>1'-10"D X 2'-10" H Base Cabinet</t>
  </si>
  <si>
    <t>1'-11"D X 2'-10" H Base Cabinet</t>
  </si>
  <si>
    <t>2'-0"D X 2'-10" H Base Cabinet</t>
  </si>
  <si>
    <t>DRAWERS</t>
  </si>
  <si>
    <t>1'-10"D X 2'-10"H Drawers</t>
  </si>
  <si>
    <t>1'-11"D X 2'-10"H Drawers</t>
  </si>
  <si>
    <t>2'-0"D X 2'-10"H Drawers</t>
  </si>
  <si>
    <t>1'-11"D X 2'-10"H Trash Bin Drawers</t>
  </si>
  <si>
    <t>2'-0"D X 2'-10"H Trash Bin Drawers</t>
  </si>
  <si>
    <t>A5.01-A5.02</t>
  </si>
  <si>
    <t>2'-10"D x 7'-8"H Shelving</t>
  </si>
  <si>
    <t>ALTERNATE</t>
  </si>
  <si>
    <t>Alternate for Carpet Flooring In Lieu of VNP Flooring</t>
  </si>
  <si>
    <t>Alternate Sub Total</t>
  </si>
  <si>
    <t>Doors, Frames &amp; Hardware Sub Total</t>
  </si>
  <si>
    <t>Storefront Sub Total</t>
  </si>
  <si>
    <t>Windows Sub Total</t>
  </si>
  <si>
    <t>5-1/2" Acoustical Batt Insulation R-21</t>
  </si>
  <si>
    <t>14 00 00</t>
  </si>
  <si>
    <t>ELEVATOR</t>
  </si>
  <si>
    <t>A7.04</t>
  </si>
  <si>
    <t>LADDER</t>
  </si>
  <si>
    <t>EA.</t>
  </si>
  <si>
    <t>A704</t>
  </si>
  <si>
    <t>TRASH BINS</t>
  </si>
  <si>
    <t>A7.05</t>
  </si>
  <si>
    <t>Trash Bins Sub Total</t>
  </si>
  <si>
    <r>
      <t xml:space="preserve">Trash Bins
</t>
    </r>
    <r>
      <rPr>
        <b/>
        <sz val="12"/>
        <rFont val="Calibri"/>
        <family val="2"/>
        <scheme val="minor"/>
      </rPr>
      <t>Size:</t>
    </r>
    <r>
      <rPr>
        <sz val="12"/>
        <rFont val="Calibri"/>
        <family val="2"/>
        <scheme val="minor"/>
      </rPr>
      <t xml:space="preserve"> 3'-6"Wide x 6'-0"Long x 5'-6" High</t>
    </r>
  </si>
  <si>
    <t>Note:1121/A7.05</t>
  </si>
  <si>
    <r>
      <t xml:space="preserve">Elevator </t>
    </r>
    <r>
      <rPr>
        <b/>
        <sz val="12"/>
        <rFont val="Calibri"/>
        <family val="2"/>
        <scheme val="minor"/>
      </rPr>
      <t>(Pit To Bulkhead)
Height:</t>
    </r>
    <r>
      <rPr>
        <sz val="12"/>
        <rFont val="Calibri"/>
        <family val="2"/>
        <scheme val="minor"/>
      </rPr>
      <t xml:space="preserve"> 63'-8"
- Elevator Hold Open Magnet Smoke Door</t>
    </r>
  </si>
  <si>
    <t>Stair Framing:</t>
  </si>
  <si>
    <t>5/8" Plywood 4x8</t>
  </si>
  <si>
    <t>Tread and Risers</t>
  </si>
  <si>
    <t>Elevator Sub Total</t>
  </si>
  <si>
    <t>Date of Submission</t>
  </si>
  <si>
    <t>MEP BASE BID</t>
  </si>
  <si>
    <t>DWG. NO.</t>
  </si>
  <si>
    <t>DETAIL NO.</t>
  </si>
  <si>
    <t>CSI NO.</t>
  </si>
  <si>
    <t>QTY</t>
  </si>
  <si>
    <t>TOTAL UNIT COST</t>
  </si>
  <si>
    <t>SUB TOTAL</t>
  </si>
  <si>
    <t>22 00 00</t>
  </si>
  <si>
    <t>PLUMBING</t>
  </si>
  <si>
    <t xml:space="preserve"> </t>
  </si>
  <si>
    <t>DOMESTIC WATER SYSTEM</t>
  </si>
  <si>
    <r>
      <t xml:space="preserve">Piping Material:
</t>
    </r>
    <r>
      <rPr>
        <sz val="12"/>
        <rFont val="Calibri"/>
        <family val="2"/>
        <scheme val="minor"/>
      </rPr>
      <t>Main Distribution, Risers &amp; Branch Lines To Apartment Units Are To Be Sdr11 Cpvc For 2" &amp; Smaller, And Schedule 80 Cpvc For 3" &amp; Bigger. Copper Type "L" Will Be Used For Boiler Connections And Backflow/Piping Exposed To Sunlight.</t>
    </r>
  </si>
  <si>
    <t>HORIZONTAL PIPING</t>
  </si>
  <si>
    <t>P2.01 - P3.3</t>
  </si>
  <si>
    <t>1/2" Cold Water Line</t>
  </si>
  <si>
    <t>1/2" Cold Water Line (Trap Primer)</t>
  </si>
  <si>
    <t>3/4" Cold Water Line</t>
  </si>
  <si>
    <t>1" Cold Water Line</t>
  </si>
  <si>
    <t>1-1/4" Cold Water Line</t>
  </si>
  <si>
    <t>1-1/2" Cold Water Line</t>
  </si>
  <si>
    <t>2" Cold Water Line</t>
  </si>
  <si>
    <t>3" Cold Water Line</t>
  </si>
  <si>
    <t>4" Cold Water Line</t>
  </si>
  <si>
    <t>6" Cold Water Line</t>
  </si>
  <si>
    <t>6" Fire Protection Line</t>
  </si>
  <si>
    <t>1/2" Hot Water Line</t>
  </si>
  <si>
    <t>3/4" Hot Water Line</t>
  </si>
  <si>
    <t>1" Hot Water Line</t>
  </si>
  <si>
    <t>1-1/4" Hot Water Line</t>
  </si>
  <si>
    <t>1-1/2" Hot Water Line</t>
  </si>
  <si>
    <t>2" Hot Water Line</t>
  </si>
  <si>
    <t>3" Hot Water Line</t>
  </si>
  <si>
    <t>4" Hot Water Line</t>
  </si>
  <si>
    <t>3/4" Hot Water Return Line</t>
  </si>
  <si>
    <t>1" Hot Water Return Line</t>
  </si>
  <si>
    <t>1" Irrigation Line</t>
  </si>
  <si>
    <t>1-1/2" Irrigation Line</t>
  </si>
  <si>
    <t>RISERS</t>
  </si>
  <si>
    <t>P4.2.1 - P4.2.3</t>
  </si>
  <si>
    <t>1/2" Cold Water Riser</t>
  </si>
  <si>
    <t>3/4" Cold Water Riser</t>
  </si>
  <si>
    <t>1" Cold Water Riser</t>
  </si>
  <si>
    <t>1-1/4" Cold Water Riser</t>
  </si>
  <si>
    <t>1-1/2" Cold Water Riser</t>
  </si>
  <si>
    <t>2" Cold Water Riser</t>
  </si>
  <si>
    <t>4" Cold Water Riser</t>
  </si>
  <si>
    <t>6" Cold Water Riser</t>
  </si>
  <si>
    <t>6" Fire Protection Riser</t>
  </si>
  <si>
    <t>3/4" Hot Water Riser</t>
  </si>
  <si>
    <t>1" Hot Water Riser</t>
  </si>
  <si>
    <t>1-1/4" Hot Water Riser</t>
  </si>
  <si>
    <t>1-1/2" Hot Water Riser</t>
  </si>
  <si>
    <t>2" Hot Water Riser</t>
  </si>
  <si>
    <t>4" Hot Water Riser</t>
  </si>
  <si>
    <t>3/4" Hot Water Return Riser</t>
  </si>
  <si>
    <t>1" Hot Water Return Riser</t>
  </si>
  <si>
    <t>1" Irrigation Riser</t>
  </si>
  <si>
    <t>1-1/2" Irrigation Riser</t>
  </si>
  <si>
    <t>INSULATION</t>
  </si>
  <si>
    <t>P0.1</t>
  </si>
  <si>
    <t>1" thick fiberglass insulation for all cold water and irrigation . Piping.
 - (K=O.24-0.28)(R-4.2) BTUH-IN/SQ.FT. F OR LESS</t>
  </si>
  <si>
    <t>1" thick fiberglass insulation for 1/2" to 3/4" diameter hot water piping.
 - (K=O.24-0.28)(R-4.2) BTUH-IN/SQ.FT. F OR LESS</t>
  </si>
  <si>
    <t>1-1/2" thick fiberglass insulation for 1" to 1-1/2" diameter hot water piping.
 - (K=O.24-0.28)(R-4.2) BTUH-IN/SQ.FT. F OR LESS</t>
  </si>
  <si>
    <t>2" thick fiberglass insulation for 2" and greater diameter hot water piping.
 - (K=O.24-0.28)(R-4.2) BTUH-IN/SQ.FT. F OR LESS</t>
  </si>
  <si>
    <t>FIXTURES</t>
  </si>
  <si>
    <t>P-2.11.2, P5.2, P-4.2.1 - P4.2.3</t>
  </si>
  <si>
    <t>1" Check Valve</t>
  </si>
  <si>
    <t>1" Shutoff Valve</t>
  </si>
  <si>
    <t>1" Shutoff Valve With Valve Box</t>
  </si>
  <si>
    <t>1/2" Shutoff Valve</t>
  </si>
  <si>
    <t>1-1/2" Shutoff Valve With Valve Box</t>
  </si>
  <si>
    <t>1-1/4" Shutoff Valve With Valve Box</t>
  </si>
  <si>
    <t>2" Shutoff Valve</t>
  </si>
  <si>
    <t>2" Shutoff Valve With Valve Box</t>
  </si>
  <si>
    <t>3" Shutoff Valve With Valve Box</t>
  </si>
  <si>
    <t>3/4" Relief Valve</t>
  </si>
  <si>
    <t>3/4" Shutoff Valve</t>
  </si>
  <si>
    <t>3/4" Shutoff Valve Box</t>
  </si>
  <si>
    <t>4" Check Valve</t>
  </si>
  <si>
    <t>4" Shutoff Valve</t>
  </si>
  <si>
    <t>4" Water Meter</t>
  </si>
  <si>
    <t>6" Shutoff Valve</t>
  </si>
  <si>
    <t>Thermometer</t>
  </si>
  <si>
    <r>
      <rPr>
        <b/>
        <sz val="12"/>
        <rFont val="Calibri"/>
        <family val="2"/>
        <scheme val="minor"/>
      </rPr>
      <t>6" BFP-1: Back Flow Preventor Assembly</t>
    </r>
    <r>
      <rPr>
        <sz val="12"/>
        <rFont val="Calibri"/>
        <family val="2"/>
        <scheme val="minor"/>
      </rPr>
      <t xml:space="preserve">
Mfr./Model: ZURN WILKINS MODEL 375AST</t>
    </r>
  </si>
  <si>
    <r>
      <rPr>
        <b/>
        <sz val="12"/>
        <rFont val="Calibri"/>
        <family val="2"/>
        <scheme val="minor"/>
      </rPr>
      <t>6" BFP-2: Back Flow Preventor Assembly</t>
    </r>
    <r>
      <rPr>
        <sz val="12"/>
        <rFont val="Calibri"/>
        <family val="2"/>
        <scheme val="minor"/>
      </rPr>
      <t xml:space="preserve">
Mfr./Model: ZURN WILKINS MODEL 450DA</t>
    </r>
  </si>
  <si>
    <r>
      <rPr>
        <b/>
        <sz val="12"/>
        <rFont val="Calibri"/>
        <family val="2"/>
        <scheme val="minor"/>
      </rPr>
      <t>3/4" BFP-3: Back Flow Preventor Assembly</t>
    </r>
    <r>
      <rPr>
        <sz val="12"/>
        <rFont val="Calibri"/>
        <family val="2"/>
        <scheme val="minor"/>
      </rPr>
      <t xml:space="preserve">
Mfr./Model: APOLLO RPLF4A (A-SERIES)</t>
    </r>
  </si>
  <si>
    <r>
      <rPr>
        <b/>
        <sz val="12"/>
        <rFont val="Calibri"/>
        <family val="2"/>
        <scheme val="minor"/>
      </rPr>
      <t>1-1/2" BFP-4: Back Flow Preventor Assembly</t>
    </r>
    <r>
      <rPr>
        <sz val="12"/>
        <rFont val="Calibri"/>
        <family val="2"/>
        <scheme val="minor"/>
      </rPr>
      <t xml:space="preserve">
Mfr./Model: ZURN WILKINS MODEL ZURN 975XL2</t>
    </r>
  </si>
  <si>
    <r>
      <rPr>
        <b/>
        <sz val="12"/>
        <rFont val="Calibri"/>
        <family val="2"/>
        <scheme val="minor"/>
      </rPr>
      <t>3/4" WHA: Water Hammer Arrester</t>
    </r>
    <r>
      <rPr>
        <sz val="12"/>
        <rFont val="Calibri"/>
        <family val="2"/>
        <scheme val="minor"/>
      </rPr>
      <t xml:space="preserve">
Mfr./Model: PPP SC-750</t>
    </r>
  </si>
  <si>
    <r>
      <rPr>
        <b/>
        <sz val="12"/>
        <rFont val="Calibri"/>
        <family val="2"/>
        <scheme val="minor"/>
      </rPr>
      <t>3/4" BV-1: Two Way Ball Valve</t>
    </r>
    <r>
      <rPr>
        <sz val="12"/>
        <rFont val="Calibri"/>
        <family val="2"/>
        <scheme val="minor"/>
      </rPr>
      <t xml:space="preserve">
Mfr./Model: WATTS SERIES LFCSM-61-S
GPM: 0.5</t>
    </r>
  </si>
  <si>
    <r>
      <rPr>
        <b/>
        <sz val="12"/>
        <rFont val="Calibri"/>
        <family val="2"/>
        <scheme val="minor"/>
      </rPr>
      <t>1" BV-2: Two Way Ball Valve</t>
    </r>
    <r>
      <rPr>
        <sz val="12"/>
        <rFont val="Calibri"/>
        <family val="2"/>
        <scheme val="minor"/>
      </rPr>
      <t xml:space="preserve">
Mfr./Model: WATTS SERIES LFCSM-61-S
GPM: 5.5</t>
    </r>
  </si>
  <si>
    <r>
      <rPr>
        <b/>
        <sz val="12"/>
        <rFont val="Calibri"/>
        <family val="2"/>
        <scheme val="minor"/>
      </rPr>
      <t>1" BV-3: Two Way Ball Valve</t>
    </r>
    <r>
      <rPr>
        <sz val="12"/>
        <rFont val="Calibri"/>
        <family val="2"/>
        <scheme val="minor"/>
      </rPr>
      <t xml:space="preserve">
Mfr./Model: WATTS SERIES LFCSM-61-S
GPM: 4.5</t>
    </r>
  </si>
  <si>
    <r>
      <rPr>
        <b/>
        <sz val="12"/>
        <rFont val="Calibri"/>
        <family val="2"/>
        <scheme val="minor"/>
      </rPr>
      <t>B-1: Domestic Hot Water Boiler Heater</t>
    </r>
    <r>
      <rPr>
        <sz val="12"/>
        <rFont val="Calibri"/>
        <family val="2"/>
        <scheme val="minor"/>
      </rPr>
      <t xml:space="preserve">
Mfr./Model: RAYPAK HI DELTA-TYPE WH #752C</t>
    </r>
  </si>
  <si>
    <r>
      <rPr>
        <b/>
        <sz val="12"/>
        <rFont val="Calibri"/>
        <family val="2"/>
        <scheme val="minor"/>
      </rPr>
      <t>DBP-1,2 &amp; 3: Domestic Booster Pump</t>
    </r>
    <r>
      <rPr>
        <sz val="12"/>
        <rFont val="Calibri"/>
        <family val="2"/>
        <scheme val="minor"/>
      </rPr>
      <t xml:space="preserve">
Mfr./Model: VC SYSTEMS 3VC-PMC-V-3-620-208NSF6B2020-3</t>
    </r>
  </si>
  <si>
    <r>
      <rPr>
        <b/>
        <sz val="12"/>
        <rFont val="Calibri"/>
        <family val="2"/>
        <scheme val="minor"/>
      </rPr>
      <t>HB-1: Narrow Wall Hydrant</t>
    </r>
    <r>
      <rPr>
        <sz val="12"/>
        <rFont val="Calibri"/>
        <family val="2"/>
        <scheme val="minor"/>
      </rPr>
      <t xml:space="preserve">
Mfr./Model: ZURN MODEL Z1350-EZ</t>
    </r>
  </si>
  <si>
    <r>
      <rPr>
        <b/>
        <sz val="12"/>
        <rFont val="Calibri"/>
        <family val="2"/>
        <scheme val="minor"/>
      </rPr>
      <t>HB-1: Loose Key Hose Bibb</t>
    </r>
    <r>
      <rPr>
        <sz val="12"/>
        <rFont val="Calibri"/>
        <family val="2"/>
        <scheme val="minor"/>
      </rPr>
      <t xml:space="preserve">
Mfr./Model: PROFLO #PF109FLKC</t>
    </r>
  </si>
  <si>
    <r>
      <rPr>
        <b/>
        <sz val="12"/>
        <rFont val="Calibri"/>
        <family val="2"/>
        <scheme val="minor"/>
      </rPr>
      <t>HPT-1: Hydro Pneumatic Tank</t>
    </r>
    <r>
      <rPr>
        <sz val="12"/>
        <rFont val="Calibri"/>
        <family val="2"/>
        <scheme val="minor"/>
      </rPr>
      <t xml:space="preserve">
Mfr./Model: WESSELS COMPANY FXA-500</t>
    </r>
  </si>
  <si>
    <r>
      <rPr>
        <b/>
        <sz val="12"/>
        <rFont val="Calibri"/>
        <family val="2"/>
        <scheme val="minor"/>
      </rPr>
      <t>HWT-1: Hot Water Storage Tank</t>
    </r>
    <r>
      <rPr>
        <sz val="12"/>
        <rFont val="Calibri"/>
        <family val="2"/>
        <scheme val="minor"/>
      </rPr>
      <t xml:space="preserve">
Mfr./Model: RAYPAK CAT. NO. 4000.22D</t>
    </r>
  </si>
  <si>
    <r>
      <rPr>
        <b/>
        <sz val="12"/>
        <rFont val="Calibri"/>
        <family val="2"/>
        <scheme val="minor"/>
      </rPr>
      <t>RCP-1: Recirculation Pump</t>
    </r>
    <r>
      <rPr>
        <sz val="12"/>
        <rFont val="Calibri"/>
        <family val="2"/>
        <scheme val="minor"/>
      </rPr>
      <t xml:space="preserve">
Mfr./Model: GRUNDFOS UPS 32-80 FB
GPM: 5.5</t>
    </r>
  </si>
  <si>
    <r>
      <rPr>
        <b/>
        <sz val="12"/>
        <rFont val="Calibri"/>
        <family val="2"/>
        <scheme val="minor"/>
      </rPr>
      <t>RCP-2: Recirculation Pump</t>
    </r>
    <r>
      <rPr>
        <sz val="12"/>
        <rFont val="Calibri"/>
        <family val="2"/>
        <scheme val="minor"/>
      </rPr>
      <t xml:space="preserve">
Mfr./Model: GRUNDFOS UPS 32-80 FB
GPM: 4.5</t>
    </r>
  </si>
  <si>
    <r>
      <rPr>
        <b/>
        <sz val="12"/>
        <rFont val="Calibri"/>
        <family val="2"/>
        <scheme val="minor"/>
      </rPr>
      <t>TET-1: Expansion Tank</t>
    </r>
    <r>
      <rPr>
        <sz val="12"/>
        <rFont val="Calibri"/>
        <family val="2"/>
        <scheme val="minor"/>
      </rPr>
      <t xml:space="preserve">
Mfr./Model: AMTROL ASME THERM-X-TROL ST-85CL</t>
    </r>
  </si>
  <si>
    <r>
      <rPr>
        <b/>
        <sz val="12"/>
        <rFont val="Calibri"/>
        <family val="2"/>
        <scheme val="minor"/>
      </rPr>
      <t>TP-1: Trap Primer</t>
    </r>
    <r>
      <rPr>
        <sz val="12"/>
        <rFont val="Calibri"/>
        <family val="2"/>
        <scheme val="minor"/>
      </rPr>
      <t xml:space="preserve">
Mfr./Model: MIFAB MR-500-NPB</t>
    </r>
  </si>
  <si>
    <r>
      <rPr>
        <b/>
        <sz val="12"/>
        <rFont val="Calibri"/>
        <family val="2"/>
        <scheme val="minor"/>
      </rPr>
      <t>TP-2: Trap Primer</t>
    </r>
    <r>
      <rPr>
        <sz val="12"/>
        <rFont val="Calibri"/>
        <family val="2"/>
        <scheme val="minor"/>
      </rPr>
      <t xml:space="preserve">
Mfr./Model: SIOUX CHIEF 695-ES01</t>
    </r>
  </si>
  <si>
    <t>SANITARY/WASTE SYSTEM</t>
  </si>
  <si>
    <r>
      <t xml:space="preserve">PIPING MATERIAL: UNDERGROUND &amp; ABOVEGROUND
</t>
    </r>
    <r>
      <rPr>
        <sz val="12"/>
        <rFont val="Calibri"/>
        <family val="2"/>
        <scheme val="minor"/>
      </rPr>
      <t>Ductile Iron Schedule 40 Pipes With With CI Soil Pipe &amp; Fittings.</t>
    </r>
  </si>
  <si>
    <t>2" Pump Discharge Line (Underground)</t>
  </si>
  <si>
    <t>3" Pump Discharge Line (Underground)</t>
  </si>
  <si>
    <t>2" Sanitary Waste Line (Underground)</t>
  </si>
  <si>
    <t>4" Sanitary Waste Line (Underground)</t>
  </si>
  <si>
    <t>6"  Sanitary Waste Line (Underground)</t>
  </si>
  <si>
    <t>6" Vent Line (Underground)</t>
  </si>
  <si>
    <t>3/4" Condensate Drain Line</t>
  </si>
  <si>
    <t>2" Pump Discharge Line</t>
  </si>
  <si>
    <t>3" Pump Discharge Line</t>
  </si>
  <si>
    <t>2" Sanitary Waste Line</t>
  </si>
  <si>
    <t>3" Sanitary Waste Line</t>
  </si>
  <si>
    <t>4" Sanitary Waste Line</t>
  </si>
  <si>
    <t>6"  Sanitary Waste Line</t>
  </si>
  <si>
    <t>2" Vent Line</t>
  </si>
  <si>
    <t>3" Vent Line</t>
  </si>
  <si>
    <t>4" Vent Line</t>
  </si>
  <si>
    <t>6" Vent Line</t>
  </si>
  <si>
    <t>P4.1.1 - P4.1.6</t>
  </si>
  <si>
    <t>2" Pump Discharge Riser (Underground)</t>
  </si>
  <si>
    <t>3" Pump Discharge Riser (Underground)</t>
  </si>
  <si>
    <t>2" Sanitary Waste Riser (Underground)</t>
  </si>
  <si>
    <t>4" Sanitary Waste Riser (Underground)</t>
  </si>
  <si>
    <t>6" Sanitary Waste Riser (Underground)</t>
  </si>
  <si>
    <t>2" Vent Riser (Underground)</t>
  </si>
  <si>
    <t>4" Vent Riser (Underground)</t>
  </si>
  <si>
    <t>6" Vent Riser (Underground)</t>
  </si>
  <si>
    <t>3/4" Condensate Drain Riser</t>
  </si>
  <si>
    <t>2" Pump Discharge Riser</t>
  </si>
  <si>
    <t>3" Pump Discharge Riser</t>
  </si>
  <si>
    <t>2" Sanitary Waste Riser</t>
  </si>
  <si>
    <t>3" Sanitary Waste Riser</t>
  </si>
  <si>
    <t>4" Sanitary Waste Riser</t>
  </si>
  <si>
    <t>6" Sanitary Waste Riser</t>
  </si>
  <si>
    <t>2" Vent Riser</t>
  </si>
  <si>
    <t>3" Vent Riser</t>
  </si>
  <si>
    <t>4" Vent Riser</t>
  </si>
  <si>
    <t>6" Vent Riser</t>
  </si>
  <si>
    <t>P1.1.1 - P4.1.6</t>
  </si>
  <si>
    <t>2" VTR: Vent Through Roof</t>
  </si>
  <si>
    <t>3" CO: Clean Out</t>
  </si>
  <si>
    <t>3" Sump Pump Ball Valve</t>
  </si>
  <si>
    <t>3" Sump Pump Check Valve</t>
  </si>
  <si>
    <t>3" VTR: Vent Through Roof</t>
  </si>
  <si>
    <t>4" CO: Clean Out</t>
  </si>
  <si>
    <t>4" FCO: Floor Clean Out</t>
  </si>
  <si>
    <t>6" Check Valve</t>
  </si>
  <si>
    <t>6" CO: Clean Out</t>
  </si>
  <si>
    <t>6" FCO: Floor Clean Out</t>
  </si>
  <si>
    <t>6" VTR: Vent Through Roof</t>
  </si>
  <si>
    <r>
      <rPr>
        <b/>
        <sz val="12"/>
        <rFont val="Calibri"/>
        <family val="2"/>
        <scheme val="minor"/>
      </rPr>
      <t>BT-1: 60" x 30" Bath Tub With Shower Head</t>
    </r>
    <r>
      <rPr>
        <sz val="12"/>
        <rFont val="Calibri"/>
        <family val="2"/>
        <scheme val="minor"/>
      </rPr>
      <t xml:space="preserve">
Mfr./Model: Not Available</t>
    </r>
  </si>
  <si>
    <r>
      <rPr>
        <b/>
        <sz val="12"/>
        <rFont val="Calibri"/>
        <family val="2"/>
        <scheme val="minor"/>
      </rPr>
      <t>FD-1: Floor Drain</t>
    </r>
    <r>
      <rPr>
        <sz val="12"/>
        <rFont val="Calibri"/>
        <family val="2"/>
        <scheme val="minor"/>
      </rPr>
      <t xml:space="preserve">
Mfr./Model: ZURN Z415B</t>
    </r>
  </si>
  <si>
    <r>
      <rPr>
        <b/>
        <sz val="12"/>
        <rFont val="Calibri"/>
        <family val="2"/>
        <scheme val="minor"/>
      </rPr>
      <t>FD-2: Floor Drain</t>
    </r>
    <r>
      <rPr>
        <sz val="12"/>
        <rFont val="Calibri"/>
        <family val="2"/>
        <scheme val="minor"/>
      </rPr>
      <t xml:space="preserve">
Mfr./Model: ZURNL Z508</t>
    </r>
  </si>
  <si>
    <r>
      <rPr>
        <b/>
        <sz val="12"/>
        <rFont val="Calibri"/>
        <family val="2"/>
        <scheme val="minor"/>
      </rPr>
      <t>FS-1: Floor Sink</t>
    </r>
    <r>
      <rPr>
        <sz val="12"/>
        <rFont val="Calibri"/>
        <family val="2"/>
        <scheme val="minor"/>
      </rPr>
      <t xml:space="preserve">
Mfr./Model: Not Available</t>
    </r>
  </si>
  <si>
    <r>
      <rPr>
        <b/>
        <sz val="12"/>
        <rFont val="Calibri"/>
        <family val="2"/>
        <scheme val="minor"/>
      </rPr>
      <t>6" HD-1: Hub Drain</t>
    </r>
    <r>
      <rPr>
        <sz val="12"/>
        <rFont val="Calibri"/>
        <family val="2"/>
        <scheme val="minor"/>
      </rPr>
      <t xml:space="preserve">
Mfr./Model: WATTS FD-200-DD</t>
    </r>
  </si>
  <si>
    <r>
      <rPr>
        <b/>
        <sz val="12"/>
        <rFont val="Calibri"/>
        <family val="2"/>
        <scheme val="minor"/>
      </rPr>
      <t>L-1: Lavatory With Faucet</t>
    </r>
    <r>
      <rPr>
        <sz val="12"/>
        <rFont val="Calibri"/>
        <family val="2"/>
        <scheme val="minor"/>
      </rPr>
      <t xml:space="preserve">
Mfr./Model: Not Available</t>
    </r>
  </si>
  <si>
    <r>
      <rPr>
        <b/>
        <sz val="12"/>
        <rFont val="Calibri"/>
        <family val="2"/>
        <scheme val="minor"/>
      </rPr>
      <t>RR-1: Roof Receptor</t>
    </r>
    <r>
      <rPr>
        <sz val="12"/>
        <rFont val="Calibri"/>
        <family val="2"/>
        <scheme val="minor"/>
      </rPr>
      <t xml:space="preserve">
Mfr./Model: ZURN Z125 ZC</t>
    </r>
  </si>
  <si>
    <r>
      <rPr>
        <b/>
        <sz val="12"/>
        <rFont val="Calibri"/>
        <family val="2"/>
        <scheme val="minor"/>
      </rPr>
      <t>S-1: Kitchen Sink (Residential) With Faucet</t>
    </r>
    <r>
      <rPr>
        <sz val="12"/>
        <rFont val="Calibri"/>
        <family val="2"/>
        <scheme val="minor"/>
      </rPr>
      <t xml:space="preserve">
Mfr./Model: Not Available</t>
    </r>
  </si>
  <si>
    <r>
      <rPr>
        <b/>
        <sz val="12"/>
        <rFont val="Calibri"/>
        <family val="2"/>
        <scheme val="minor"/>
      </rPr>
      <t>S-3: Laundry Sink With Faucet</t>
    </r>
    <r>
      <rPr>
        <sz val="12"/>
        <rFont val="Calibri"/>
        <family val="2"/>
        <scheme val="minor"/>
      </rPr>
      <t xml:space="preserve">
Mfr./Model: Not Available</t>
    </r>
  </si>
  <si>
    <r>
      <rPr>
        <b/>
        <sz val="12"/>
        <rFont val="Calibri"/>
        <family val="2"/>
        <scheme val="minor"/>
      </rPr>
      <t>SE-1/SE-2: Sewer Ejector</t>
    </r>
    <r>
      <rPr>
        <sz val="12"/>
        <rFont val="Calibri"/>
        <family val="2"/>
        <scheme val="minor"/>
      </rPr>
      <t xml:space="preserve">
Mfr./Model: EBARA 80DVCFMU63.72</t>
    </r>
  </si>
  <si>
    <r>
      <rPr>
        <b/>
        <sz val="12"/>
        <rFont val="Calibri"/>
        <family val="2"/>
        <scheme val="minor"/>
      </rPr>
      <t>WB-1: Waching Machine Box</t>
    </r>
    <r>
      <rPr>
        <sz val="12"/>
        <rFont val="Calibri"/>
        <family val="2"/>
        <scheme val="minor"/>
      </rPr>
      <t xml:space="preserve">
Mfr./Model: SIOUXCHIEF 696R SERIES</t>
    </r>
  </si>
  <si>
    <r>
      <rPr>
        <b/>
        <sz val="12"/>
        <rFont val="Calibri"/>
        <family val="2"/>
        <scheme val="minor"/>
      </rPr>
      <t>WC-1: Water Closet With Flush Valve</t>
    </r>
    <r>
      <rPr>
        <sz val="12"/>
        <rFont val="Calibri"/>
        <family val="2"/>
        <scheme val="minor"/>
      </rPr>
      <t xml:space="preserve">
Mfr./Model: Not Available</t>
    </r>
  </si>
  <si>
    <t>STORM SYSTEM</t>
  </si>
  <si>
    <r>
      <t xml:space="preserve">PIPING MATERIAL: ABOVEGROUND
</t>
    </r>
    <r>
      <rPr>
        <sz val="12"/>
        <rFont val="Calibri"/>
        <family val="2"/>
        <scheme val="minor"/>
      </rPr>
      <t>Ductile Iron Schedule 40 Pipes With With CI Soil Pipe &amp; Fittings.</t>
    </r>
  </si>
  <si>
    <t>3" Storm Line (Underground)</t>
  </si>
  <si>
    <t>4" Storm Line (Underground)</t>
  </si>
  <si>
    <t>6" Storm Line (Underground)</t>
  </si>
  <si>
    <t>3" Storm Line</t>
  </si>
  <si>
    <t>4" Storm Line</t>
  </si>
  <si>
    <t>6" Storm Line</t>
  </si>
  <si>
    <t>8" Storm Line</t>
  </si>
  <si>
    <t>P4.4.1 - P4.4.4</t>
  </si>
  <si>
    <t>3" Storm Riser (Underground)</t>
  </si>
  <si>
    <t>4" Storm Riser (Underground)</t>
  </si>
  <si>
    <t>3" Storm Riser</t>
  </si>
  <si>
    <t>4" Storm Riser</t>
  </si>
  <si>
    <t>6" Storm Riser</t>
  </si>
  <si>
    <t>2" Sump Pump Ball Valve</t>
  </si>
  <si>
    <t>2" Sump Pump Check Valve</t>
  </si>
  <si>
    <t>3" Backwater Valve</t>
  </si>
  <si>
    <t>3" Downspout Nozzle</t>
  </si>
  <si>
    <t>3" POC: Point Of Connection</t>
  </si>
  <si>
    <t>4" Backwater Valve</t>
  </si>
  <si>
    <t>4" POC: Point Of Connection</t>
  </si>
  <si>
    <t>4" VTR: Vent Through Roof</t>
  </si>
  <si>
    <t>6" POC: Point Of Connection</t>
  </si>
  <si>
    <t>8" POC: Point Of Connection</t>
  </si>
  <si>
    <r>
      <rPr>
        <b/>
        <sz val="12"/>
        <rFont val="Calibri"/>
        <family val="2"/>
        <scheme val="minor"/>
      </rPr>
      <t>3" ED-1: Emergency Drain</t>
    </r>
    <r>
      <rPr>
        <sz val="12"/>
        <rFont val="Calibri"/>
        <family val="2"/>
        <scheme val="minor"/>
      </rPr>
      <t xml:space="preserve">
Mfr./Model: ZURN MODEL #Z537</t>
    </r>
  </si>
  <si>
    <r>
      <rPr>
        <b/>
        <sz val="12"/>
        <rFont val="Calibri"/>
        <family val="2"/>
        <scheme val="minor"/>
      </rPr>
      <t>3" OD-1: Overflow Drain</t>
    </r>
    <r>
      <rPr>
        <sz val="12"/>
        <rFont val="Calibri"/>
        <family val="2"/>
        <scheme val="minor"/>
      </rPr>
      <t xml:space="preserve">
Mfr./Model: FRANK PATTERN MANUFACTURING #850-4N</t>
    </r>
  </si>
  <si>
    <r>
      <rPr>
        <b/>
        <sz val="12"/>
        <rFont val="Calibri"/>
        <family val="2"/>
        <scheme val="minor"/>
      </rPr>
      <t>3" PD-1: Planter Drain</t>
    </r>
    <r>
      <rPr>
        <sz val="12"/>
        <rFont val="Calibri"/>
        <family val="2"/>
        <scheme val="minor"/>
      </rPr>
      <t xml:space="preserve">
Mfr./Model: ZURN MODEL #ZRB352-90</t>
    </r>
  </si>
  <si>
    <r>
      <rPr>
        <b/>
        <sz val="12"/>
        <rFont val="Calibri"/>
        <family val="2"/>
        <scheme val="minor"/>
      </rPr>
      <t>3" RD-1: Roof Drain</t>
    </r>
    <r>
      <rPr>
        <sz val="12"/>
        <rFont val="Calibri"/>
        <family val="2"/>
        <scheme val="minor"/>
      </rPr>
      <t xml:space="preserve">
Mfr./Model: FRANK PATTERN MANUFACTURING #850-4N</t>
    </r>
  </si>
  <si>
    <r>
      <rPr>
        <b/>
        <sz val="12"/>
        <rFont val="Calibri"/>
        <family val="2"/>
        <scheme val="minor"/>
      </rPr>
      <t>4" TD-1: Trench Drain</t>
    </r>
    <r>
      <rPr>
        <sz val="12"/>
        <rFont val="Calibri"/>
        <family val="2"/>
        <scheme val="minor"/>
      </rPr>
      <t xml:space="preserve">
Mfr./Model: ZURN Z884</t>
    </r>
  </si>
  <si>
    <r>
      <rPr>
        <b/>
        <sz val="12"/>
        <rFont val="Calibri"/>
        <family val="2"/>
        <scheme val="minor"/>
      </rPr>
      <t>3" AD-1: Area Drain</t>
    </r>
    <r>
      <rPr>
        <sz val="12"/>
        <rFont val="Calibri"/>
        <family val="2"/>
        <scheme val="minor"/>
      </rPr>
      <t xml:space="preserve">
Mfr./Model: ZURN MODEL Z415B</t>
    </r>
  </si>
  <si>
    <r>
      <rPr>
        <b/>
        <sz val="12"/>
        <rFont val="Calibri"/>
        <family val="2"/>
        <scheme val="minor"/>
      </rPr>
      <t>3" AOD-1: Area Overflow Drain</t>
    </r>
    <r>
      <rPr>
        <sz val="12"/>
        <rFont val="Calibri"/>
        <family val="2"/>
        <scheme val="minor"/>
      </rPr>
      <t xml:space="preserve">
Mfr./Model: ZURN MODEL Z415B</t>
    </r>
  </si>
  <si>
    <r>
      <rPr>
        <b/>
        <sz val="12"/>
        <rFont val="Calibri"/>
        <family val="2"/>
        <scheme val="minor"/>
      </rPr>
      <t>SP-1/SP-2: Sump Pump</t>
    </r>
    <r>
      <rPr>
        <sz val="12"/>
        <rFont val="Calibri"/>
        <family val="2"/>
        <scheme val="minor"/>
      </rPr>
      <t xml:space="preserve">
Mfr./Model: SULZER AS 0631D S18/2D</t>
    </r>
  </si>
  <si>
    <t>GAS SYSTEM</t>
  </si>
  <si>
    <r>
      <t xml:space="preserve">PIPING MATERIAL: ABOVEGROUND
</t>
    </r>
    <r>
      <rPr>
        <sz val="12"/>
        <rFont val="Calibri"/>
        <family val="2"/>
        <scheme val="minor"/>
      </rPr>
      <t>Schedule 40 Black Steel Pipes.</t>
    </r>
  </si>
  <si>
    <t>3/4" Gas Line</t>
  </si>
  <si>
    <t>1-1/4" Gas Line</t>
  </si>
  <si>
    <t>1-1/2" Gas Line</t>
  </si>
  <si>
    <t>2" Gas Line</t>
  </si>
  <si>
    <t>3" Gas Line</t>
  </si>
  <si>
    <t>P4.3</t>
  </si>
  <si>
    <t>3/4" Gas Riser</t>
  </si>
  <si>
    <t>1-1/2" Gas Riser</t>
  </si>
  <si>
    <t>3" Gas Riser</t>
  </si>
  <si>
    <t>1-1/2" Emergency Gas Shutoff Valve</t>
  </si>
  <si>
    <t>3" Gas Cock</t>
  </si>
  <si>
    <t>3" Gas Meter</t>
  </si>
  <si>
    <t>3" Gas Shutoff Valve</t>
  </si>
  <si>
    <t>3/4" Gas Cock</t>
  </si>
  <si>
    <r>
      <rPr>
        <b/>
        <sz val="12"/>
        <rFont val="Calibri"/>
        <family val="2"/>
        <scheme val="minor"/>
      </rPr>
      <t>3" GSV-1: Emergency Seismic Shutoff Valve</t>
    </r>
    <r>
      <rPr>
        <sz val="12"/>
        <rFont val="Calibri"/>
        <family val="2"/>
        <scheme val="minor"/>
      </rPr>
      <t xml:space="preserve">
Mfr./Model: PACIFIC SEISMIC PRODUCTS 315F</t>
    </r>
  </si>
  <si>
    <r>
      <rPr>
        <b/>
        <sz val="12"/>
        <rFont val="Calibri"/>
        <family val="2"/>
        <scheme val="minor"/>
      </rPr>
      <t>1-1/4" SV-1: Gas Solenoid Valve</t>
    </r>
    <r>
      <rPr>
        <sz val="12"/>
        <rFont val="Calibri"/>
        <family val="2"/>
        <scheme val="minor"/>
      </rPr>
      <t xml:space="preserve">
Mfr./Model: ASCO 8215C63</t>
    </r>
  </si>
  <si>
    <t>ALLOWANCES</t>
  </si>
  <si>
    <t>Allowance for Misc. Plumbing Requirements (Connections, Supports, Hangers, Sleeves, Fire Stopping etc.)</t>
  </si>
  <si>
    <t>Plumbing Sub Total</t>
  </si>
  <si>
    <t>23 00 00</t>
  </si>
  <si>
    <t>MECHANICAL</t>
  </si>
  <si>
    <t>HVAC DUCTING/PIPING</t>
  </si>
  <si>
    <r>
      <t xml:space="preserve">DUCTING MATERIAL:
</t>
    </r>
    <r>
      <rPr>
        <sz val="12"/>
        <rFont val="Calibri"/>
        <family val="2"/>
        <scheme val="minor"/>
      </rPr>
      <t xml:space="preserve">Rigid Galvanized Steel in accordance with ASHRAE &amp; SMACNA.
</t>
    </r>
  </si>
  <si>
    <t>HORIZONTAL DUCTING/PIPING</t>
  </si>
  <si>
    <t>M2.01 - M2.51, M3.1 - M3.5</t>
  </si>
  <si>
    <t>6" Dia. Round Duct</t>
  </si>
  <si>
    <t>7" Dia. Round Duct</t>
  </si>
  <si>
    <t>8" Dia. Round Duct</t>
  </si>
  <si>
    <t>10" Dia. Round Duct</t>
  </si>
  <si>
    <t>6" Dia. Flexible Duct</t>
  </si>
  <si>
    <t>8" Dia. Flexible Duct</t>
  </si>
  <si>
    <t>10" Dia. Flexible Duct</t>
  </si>
  <si>
    <t>8"x10" Rectangular Duct</t>
  </si>
  <si>
    <t>10"x8" Rectangular Duct</t>
  </si>
  <si>
    <t>10"x10" Rectangular Duct</t>
  </si>
  <si>
    <t>12"x10" Rectangular Duct</t>
  </si>
  <si>
    <t>14"x12" Rectangular Duct</t>
  </si>
  <si>
    <t>20"x12" Rectangular Duct</t>
  </si>
  <si>
    <t>34"x20" Rectangular Duct</t>
  </si>
  <si>
    <t>48"x24" Rectangular Duct</t>
  </si>
  <si>
    <t>58"x32" Rectangular Duct</t>
  </si>
  <si>
    <t>DUCTING/PIPING RISER</t>
  </si>
  <si>
    <t>M2.01 - M3.3</t>
  </si>
  <si>
    <t>6" Dia. Round Duct Riser</t>
  </si>
  <si>
    <t>7" Dia. Round Duct Riser</t>
  </si>
  <si>
    <t>8" Dia. Round Duct Riser</t>
  </si>
  <si>
    <t>10" Dia. Round Duct Riser</t>
  </si>
  <si>
    <t>8"x10" Rectangular Duct Riser</t>
  </si>
  <si>
    <t>8"x12" Rectangular Duct Riser</t>
  </si>
  <si>
    <t>10"x8" Rectangular Duct Riser</t>
  </si>
  <si>
    <t>40"x34" Rectangular Duct Riser</t>
  </si>
  <si>
    <t>58"x32" Rectangular Duct Riser</t>
  </si>
  <si>
    <t>4" Dryer Vent Riser</t>
  </si>
  <si>
    <t>1-1/2" Thick, 75Lb. Per Cu. Ft. Density Fiberglass Insulation With Vapor Barrier (R-8 Minimum).</t>
  </si>
  <si>
    <t>HVAC FIXTURES</t>
  </si>
  <si>
    <t>10"x10" Wall Cap</t>
  </si>
  <si>
    <t>18"X18" Wall Louver</t>
  </si>
  <si>
    <t>28"x28" Wall Louver</t>
  </si>
  <si>
    <t>4" Vent Cap</t>
  </si>
  <si>
    <t>40"x34" Floor Grille</t>
  </si>
  <si>
    <t>44"x44" Wall Louver</t>
  </si>
  <si>
    <t>58"x32" Louver</t>
  </si>
  <si>
    <t>6" Wall Cap</t>
  </si>
  <si>
    <t>7" Wall Cap</t>
  </si>
  <si>
    <t>8" Wall Cap</t>
  </si>
  <si>
    <t>Backdraft Damper</t>
  </si>
  <si>
    <t>CO: Carbon Monoxide sensor</t>
  </si>
  <si>
    <t>CO: Monitoring Controller</t>
  </si>
  <si>
    <t>CSFD: Combination Smoke And Fire Damper</t>
  </si>
  <si>
    <t>Thermostat</t>
  </si>
  <si>
    <t>VD: Volume Damper</t>
  </si>
  <si>
    <t>Filter Box With MERV 13 Filter</t>
  </si>
  <si>
    <r>
      <rPr>
        <b/>
        <sz val="12"/>
        <rFont val="Calibri"/>
        <family val="2"/>
        <scheme val="minor"/>
      </rPr>
      <t>CU-1: Split System Outdoor Unit</t>
    </r>
    <r>
      <rPr>
        <sz val="12"/>
        <rFont val="Calibri"/>
        <family val="2"/>
        <scheme val="minor"/>
      </rPr>
      <t xml:space="preserve">
Mfr./Model: CARRIER 38MARBQ18AA3</t>
    </r>
  </si>
  <si>
    <r>
      <rPr>
        <b/>
        <sz val="12"/>
        <rFont val="Calibri"/>
        <family val="2"/>
        <scheme val="minor"/>
      </rPr>
      <t>CU-2: Split System Outdoor Unit</t>
    </r>
    <r>
      <rPr>
        <sz val="12"/>
        <rFont val="Calibri"/>
        <family val="2"/>
        <scheme val="minor"/>
      </rPr>
      <t xml:space="preserve">
Mfr./Model: CARRIER 38MBRQ58A--3</t>
    </r>
  </si>
  <si>
    <r>
      <rPr>
        <b/>
        <sz val="12"/>
        <rFont val="Calibri"/>
        <family val="2"/>
        <scheme val="minor"/>
      </rPr>
      <t>CU-3: Split System Outdoor Unit</t>
    </r>
    <r>
      <rPr>
        <sz val="12"/>
        <rFont val="Calibri"/>
        <family val="2"/>
        <scheme val="minor"/>
      </rPr>
      <t xml:space="preserve">
Mfr./Model: CARRIER 38MARBQ24AA3</t>
    </r>
  </si>
  <si>
    <r>
      <rPr>
        <b/>
        <sz val="12"/>
        <rFont val="Calibri"/>
        <family val="2"/>
        <scheme val="minor"/>
      </rPr>
      <t>CU-4: Split System Outdoor Unit</t>
    </r>
    <r>
      <rPr>
        <sz val="12"/>
        <rFont val="Calibri"/>
        <family val="2"/>
        <scheme val="minor"/>
      </rPr>
      <t xml:space="preserve">
Mfr./Model: CARRIER 38MARBQ18AA3</t>
    </r>
  </si>
  <si>
    <r>
      <rPr>
        <b/>
        <sz val="12"/>
        <rFont val="Calibri"/>
        <family val="2"/>
        <scheme val="minor"/>
      </rPr>
      <t>CU-5: Split System Outdoor Unit</t>
    </r>
    <r>
      <rPr>
        <sz val="12"/>
        <rFont val="Calibri"/>
        <family val="2"/>
        <scheme val="minor"/>
      </rPr>
      <t xml:space="preserve">
Mfr./Model: CARRIER 38MARBQ18AA3</t>
    </r>
  </si>
  <si>
    <r>
      <rPr>
        <b/>
        <sz val="12"/>
        <rFont val="Calibri"/>
        <family val="2"/>
        <scheme val="minor"/>
      </rPr>
      <t>E-1: 32" x 20" EGG CRATE FACE</t>
    </r>
    <r>
      <rPr>
        <sz val="12"/>
        <rFont val="Calibri"/>
        <family val="2"/>
        <scheme val="minor"/>
      </rPr>
      <t xml:space="preserve">
Mfr./Model: PRICE 80
CFM: 0-3,300</t>
    </r>
  </si>
  <si>
    <r>
      <rPr>
        <b/>
        <sz val="12"/>
        <rFont val="Calibri"/>
        <family val="2"/>
        <scheme val="minor"/>
      </rPr>
      <t>E-2: 10" x 8" EGG CRATE FACE</t>
    </r>
    <r>
      <rPr>
        <sz val="12"/>
        <rFont val="Calibri"/>
        <family val="2"/>
        <scheme val="minor"/>
      </rPr>
      <t xml:space="preserve">
Mfr./Model: PRICE 80
CFM: 0-250</t>
    </r>
  </si>
  <si>
    <r>
      <rPr>
        <b/>
        <sz val="12"/>
        <rFont val="Calibri"/>
        <family val="2"/>
        <scheme val="minor"/>
      </rPr>
      <t>E-2: 12" x 12" EGG CRATE FACE</t>
    </r>
    <r>
      <rPr>
        <sz val="12"/>
        <rFont val="Calibri"/>
        <family val="2"/>
        <scheme val="minor"/>
      </rPr>
      <t xml:space="preserve">
Mfr./Model: PRICE 80
CFM: 0-360</t>
    </r>
  </si>
  <si>
    <r>
      <rPr>
        <b/>
        <sz val="12"/>
        <rFont val="Calibri"/>
        <family val="2"/>
        <scheme val="minor"/>
      </rPr>
      <t xml:space="preserve">EF-1: Exhaust Fan
</t>
    </r>
    <r>
      <rPr>
        <sz val="12"/>
        <rFont val="Calibri"/>
        <family val="2"/>
        <scheme val="minor"/>
      </rPr>
      <t>Mfr./Model: PANASONIC FV-0511VKSL2
CFM: 50-110</t>
    </r>
  </si>
  <si>
    <r>
      <rPr>
        <b/>
        <sz val="12"/>
        <rFont val="Calibri"/>
        <family val="2"/>
        <scheme val="minor"/>
      </rPr>
      <t xml:space="preserve">EF-2: Exhaust Fan
</t>
    </r>
    <r>
      <rPr>
        <sz val="12"/>
        <rFont val="Calibri"/>
        <family val="2"/>
        <scheme val="minor"/>
      </rPr>
      <t>Mfr./Model: BROAN 42000
CFM: 190</t>
    </r>
  </si>
  <si>
    <r>
      <rPr>
        <b/>
        <sz val="12"/>
        <rFont val="Calibri"/>
        <family val="2"/>
        <scheme val="minor"/>
      </rPr>
      <t xml:space="preserve">EF-3: Exhaust Fan
</t>
    </r>
    <r>
      <rPr>
        <sz val="12"/>
        <rFont val="Calibri"/>
        <family val="2"/>
        <scheme val="minor"/>
      </rPr>
      <t>Mfr./Model: BROAN XB110H
CFM: 110</t>
    </r>
  </si>
  <si>
    <r>
      <rPr>
        <b/>
        <sz val="12"/>
        <rFont val="Calibri"/>
        <family val="2"/>
        <scheme val="minor"/>
      </rPr>
      <t xml:space="preserve">EF-4: Exhaust Fan
</t>
    </r>
    <r>
      <rPr>
        <sz val="12"/>
        <rFont val="Calibri"/>
        <family val="2"/>
        <scheme val="minor"/>
      </rPr>
      <t>Mfr./Model: GREENHECK USF-40-A1
CFM: 27,500</t>
    </r>
  </si>
  <si>
    <r>
      <rPr>
        <b/>
        <sz val="12"/>
        <rFont val="Calibri"/>
        <family val="2"/>
        <scheme val="minor"/>
      </rPr>
      <t xml:space="preserve">EF-5: Exhaust Fan
</t>
    </r>
    <r>
      <rPr>
        <sz val="12"/>
        <rFont val="Calibri"/>
        <family val="2"/>
        <scheme val="minor"/>
      </rPr>
      <t>Mfr./Model: GREENHECK USF-10
CFM: 590</t>
    </r>
  </si>
  <si>
    <r>
      <rPr>
        <b/>
        <sz val="12"/>
        <rFont val="Calibri"/>
        <family val="2"/>
        <scheme val="minor"/>
      </rPr>
      <t xml:space="preserve">EF-6: Exhaust Fan
</t>
    </r>
    <r>
      <rPr>
        <sz val="12"/>
        <rFont val="Calibri"/>
        <family val="2"/>
        <scheme val="minor"/>
      </rPr>
      <t>Mfr./Model: GREENHECK CSP-A510
CFM: 430</t>
    </r>
  </si>
  <si>
    <r>
      <rPr>
        <b/>
        <sz val="12"/>
        <rFont val="Calibri"/>
        <family val="2"/>
        <scheme val="minor"/>
      </rPr>
      <t xml:space="preserve">EF-7: Exhaust Fan
</t>
    </r>
    <r>
      <rPr>
        <sz val="12"/>
        <rFont val="Calibri"/>
        <family val="2"/>
        <scheme val="minor"/>
      </rPr>
      <t>Mfr./Model: GREENHECK SP-B150
CFM: 100</t>
    </r>
  </si>
  <si>
    <r>
      <rPr>
        <b/>
        <sz val="12"/>
        <rFont val="Calibri"/>
        <family val="2"/>
        <scheme val="minor"/>
      </rPr>
      <t>FC-1: Split System Indoor Unit</t>
    </r>
    <r>
      <rPr>
        <sz val="12"/>
        <rFont val="Calibri"/>
        <family val="2"/>
        <scheme val="minor"/>
      </rPr>
      <t xml:space="preserve">
Mfr./Model: CARRIER FMC4Z1800AL
CFM: 525</t>
    </r>
  </si>
  <si>
    <r>
      <rPr>
        <b/>
        <sz val="12"/>
        <rFont val="Calibri"/>
        <family val="2"/>
        <scheme val="minor"/>
      </rPr>
      <t>FC-2: Split System Indoor Unit</t>
    </r>
    <r>
      <rPr>
        <sz val="12"/>
        <rFont val="Calibri"/>
        <family val="2"/>
        <scheme val="minor"/>
      </rPr>
      <t xml:space="preserve">
Mfr./Model: CARRIER 40MBDQ58--3
CFM: 1750</t>
    </r>
  </si>
  <si>
    <r>
      <rPr>
        <b/>
        <sz val="12"/>
        <rFont val="Calibri"/>
        <family val="2"/>
        <scheme val="minor"/>
      </rPr>
      <t>FC-3: Split System Indoor Unit</t>
    </r>
    <r>
      <rPr>
        <sz val="12"/>
        <rFont val="Calibri"/>
        <family val="2"/>
        <scheme val="minor"/>
      </rPr>
      <t xml:space="preserve">
Mfr./Model: CARRIER 40MBDQ24--3
CFM: 700</t>
    </r>
  </si>
  <si>
    <r>
      <rPr>
        <b/>
        <sz val="12"/>
        <rFont val="Calibri"/>
        <family val="2"/>
        <scheme val="minor"/>
      </rPr>
      <t>FC-4: Split System Indoor Unit</t>
    </r>
    <r>
      <rPr>
        <sz val="12"/>
        <rFont val="Calibri"/>
        <family val="2"/>
        <scheme val="minor"/>
      </rPr>
      <t xml:space="preserve">
Mfr./Model: CARRIER 40MAHBQ18XA3
CFM: 635</t>
    </r>
  </si>
  <si>
    <r>
      <rPr>
        <b/>
        <sz val="12"/>
        <rFont val="Calibri"/>
        <family val="2"/>
        <scheme val="minor"/>
      </rPr>
      <t>FC-5: Split System Indoor Unit</t>
    </r>
    <r>
      <rPr>
        <sz val="12"/>
        <rFont val="Calibri"/>
        <family val="2"/>
        <scheme val="minor"/>
      </rPr>
      <t xml:space="preserve">
Mfr./Model: CARRIER 40MAHBQ18XA3
CFM: 635</t>
    </r>
  </si>
  <si>
    <r>
      <rPr>
        <b/>
        <sz val="12"/>
        <rFont val="Calibri"/>
        <family val="2"/>
        <scheme val="minor"/>
      </rPr>
      <t>FC-6: Split System Indoor Unit</t>
    </r>
    <r>
      <rPr>
        <sz val="12"/>
        <rFont val="Calibri"/>
        <family val="2"/>
        <scheme val="minor"/>
      </rPr>
      <t xml:space="preserve">
Mfr./Model: CARRIER FMC4Z3000AL
CFM: 875</t>
    </r>
  </si>
  <si>
    <t>Frequency Drive
Mfr./Model: YASKAWA Z1000</t>
  </si>
  <si>
    <r>
      <rPr>
        <b/>
        <sz val="12"/>
        <rFont val="Calibri"/>
        <family val="2"/>
        <scheme val="minor"/>
      </rPr>
      <t>JF-1-1: Exhaust Fan</t>
    </r>
    <r>
      <rPr>
        <sz val="12"/>
        <rFont val="Calibri"/>
        <family val="2"/>
        <scheme val="minor"/>
      </rPr>
      <t xml:space="preserve">
Mfr,.Model: ZOO FANS JVEC-SP
CFM: 3475</t>
    </r>
  </si>
  <si>
    <r>
      <rPr>
        <b/>
        <sz val="12"/>
        <rFont val="Calibri"/>
        <family val="2"/>
        <scheme val="minor"/>
      </rPr>
      <t>JF-1-2: Exhaust Fan</t>
    </r>
    <r>
      <rPr>
        <sz val="12"/>
        <rFont val="Calibri"/>
        <family val="2"/>
        <scheme val="minor"/>
      </rPr>
      <t xml:space="preserve">
Mfr,.Model: ZOO FANS JVEC-SP
CFM: 3475</t>
    </r>
  </si>
  <si>
    <r>
      <rPr>
        <b/>
        <sz val="12"/>
        <rFont val="Calibri"/>
        <family val="2"/>
        <scheme val="minor"/>
      </rPr>
      <t>JF-1-3: Exhaust Fan</t>
    </r>
    <r>
      <rPr>
        <sz val="12"/>
        <rFont val="Calibri"/>
        <family val="2"/>
        <scheme val="minor"/>
      </rPr>
      <t xml:space="preserve">
Mfr,.Model: ZOO FANS JVEC-SP
CFM: 3475</t>
    </r>
  </si>
  <si>
    <r>
      <rPr>
        <b/>
        <sz val="12"/>
        <rFont val="Calibri"/>
        <family val="2"/>
        <scheme val="minor"/>
      </rPr>
      <t>JF-2-1: Exhaust Fan</t>
    </r>
    <r>
      <rPr>
        <sz val="12"/>
        <rFont val="Calibri"/>
        <family val="2"/>
        <scheme val="minor"/>
      </rPr>
      <t xml:space="preserve">
Mfr,.Model: ZOO FANS JVEC-SP
CFM: 3475</t>
    </r>
  </si>
  <si>
    <r>
      <rPr>
        <b/>
        <sz val="12"/>
        <rFont val="Calibri"/>
        <family val="2"/>
        <scheme val="minor"/>
      </rPr>
      <t>M-2: 12" x 12" Louvered Face</t>
    </r>
    <r>
      <rPr>
        <sz val="12"/>
        <rFont val="Calibri"/>
        <family val="2"/>
        <scheme val="minor"/>
      </rPr>
      <t xml:space="preserve">
Mfr./Model: PRICE 510
CFM: 0-360</t>
    </r>
  </si>
  <si>
    <r>
      <rPr>
        <b/>
        <sz val="12"/>
        <rFont val="Calibri"/>
        <family val="2"/>
        <scheme val="minor"/>
      </rPr>
      <t>M-3: 16" x 16" Louvered Face</t>
    </r>
    <r>
      <rPr>
        <sz val="12"/>
        <rFont val="Calibri"/>
        <family val="2"/>
        <scheme val="minor"/>
      </rPr>
      <t xml:space="preserve">
Mfr./Model: PRICE 510
CFM: 0-480</t>
    </r>
  </si>
  <si>
    <r>
      <rPr>
        <b/>
        <sz val="12"/>
        <rFont val="Calibri"/>
        <family val="2"/>
        <scheme val="minor"/>
      </rPr>
      <t>OA-1: 12" x 12" Louvered Face</t>
    </r>
    <r>
      <rPr>
        <sz val="12"/>
        <rFont val="Calibri"/>
        <family val="2"/>
        <scheme val="minor"/>
      </rPr>
      <t xml:space="preserve">
Mfr./Model: PRICE 510
CFM: 0-270</t>
    </r>
  </si>
  <si>
    <r>
      <rPr>
        <b/>
        <sz val="12"/>
        <rFont val="Calibri"/>
        <family val="2"/>
        <scheme val="minor"/>
      </rPr>
      <t>OF-1: Office Exhaust Fan</t>
    </r>
    <r>
      <rPr>
        <sz val="12"/>
        <rFont val="Calibri"/>
        <family val="2"/>
        <scheme val="minor"/>
      </rPr>
      <t xml:space="preserve">
Mfr./Model: AIR KING F130D
CFM: 30-80</t>
    </r>
  </si>
  <si>
    <r>
      <rPr>
        <b/>
        <sz val="12"/>
        <rFont val="Calibri"/>
        <family val="2"/>
        <scheme val="minor"/>
      </rPr>
      <t>OF-1: Office Exhaust Fan</t>
    </r>
    <r>
      <rPr>
        <sz val="12"/>
        <rFont val="Calibri"/>
        <family val="2"/>
        <scheme val="minor"/>
      </rPr>
      <t xml:space="preserve">
Mfr./Model: AIR KING F130D
CFM: 100</t>
    </r>
  </si>
  <si>
    <r>
      <rPr>
        <b/>
        <sz val="12"/>
        <rFont val="Calibri"/>
        <family val="2"/>
        <scheme val="minor"/>
      </rPr>
      <t>R-1: 28" x 12" Louvered Face Return</t>
    </r>
    <r>
      <rPr>
        <sz val="12"/>
        <rFont val="Calibri"/>
        <family val="2"/>
        <scheme val="minor"/>
      </rPr>
      <t xml:space="preserve">
Mfr./Model: PRICE 630
CFM: 0-600</t>
    </r>
  </si>
  <si>
    <r>
      <rPr>
        <b/>
        <sz val="12"/>
        <rFont val="Calibri"/>
        <family val="2"/>
        <scheme val="minor"/>
      </rPr>
      <t>R-2: 24" x 24" Perforated Return</t>
    </r>
    <r>
      <rPr>
        <sz val="12"/>
        <rFont val="Calibri"/>
        <family val="2"/>
        <scheme val="minor"/>
      </rPr>
      <t xml:space="preserve">
Mfr./Model: PRICE PDR
CFM: 0-1750</t>
    </r>
  </si>
  <si>
    <r>
      <rPr>
        <b/>
        <sz val="12"/>
        <rFont val="Calibri"/>
        <family val="2"/>
        <scheme val="minor"/>
      </rPr>
      <t>R-3: 10" x 6" EGG CRATE FACE</t>
    </r>
    <r>
      <rPr>
        <sz val="12"/>
        <rFont val="Calibri"/>
        <family val="2"/>
        <scheme val="minor"/>
      </rPr>
      <t xml:space="preserve">
Mfr./Model: PRICE 80
CFM: 0-100</t>
    </r>
  </si>
  <si>
    <r>
      <rPr>
        <b/>
        <sz val="12"/>
        <rFont val="Calibri"/>
        <family val="2"/>
        <scheme val="minor"/>
      </rPr>
      <t>S-1: 14" x 12" Louvered Face</t>
    </r>
    <r>
      <rPr>
        <sz val="12"/>
        <rFont val="Calibri"/>
        <family val="2"/>
        <scheme val="minor"/>
      </rPr>
      <t xml:space="preserve">
Mfr./Model: PRICE 610
CFM: 0-600</t>
    </r>
  </si>
  <si>
    <r>
      <rPr>
        <b/>
        <sz val="12"/>
        <rFont val="Calibri"/>
        <family val="2"/>
        <scheme val="minor"/>
      </rPr>
      <t>SF-1: Storage Exhaust Fan</t>
    </r>
    <r>
      <rPr>
        <sz val="12"/>
        <rFont val="Calibri"/>
        <family val="2"/>
        <scheme val="minor"/>
      </rPr>
      <t xml:space="preserve">
Mfr./Model: AIR KING F130D
CFM: 30-130</t>
    </r>
  </si>
  <si>
    <r>
      <rPr>
        <b/>
        <sz val="12"/>
        <rFont val="Calibri"/>
        <family val="2"/>
        <scheme val="minor"/>
      </rPr>
      <t>SF-2: Pump Room Exhaust Fan</t>
    </r>
    <r>
      <rPr>
        <sz val="12"/>
        <rFont val="Calibri"/>
        <family val="2"/>
        <scheme val="minor"/>
      </rPr>
      <t xml:space="preserve">
Mfr./Model: GREENHECK SQ-100
CFM: 436</t>
    </r>
  </si>
  <si>
    <t>MISCELLANEOUS</t>
  </si>
  <si>
    <t>Allowances for Duct Connections, Accessories, Refrigerant Suction Piping, Refrigerant Liquid Piping And Other Misc. Mechanical Requirements.</t>
  </si>
  <si>
    <t>Mechanical Sub Total</t>
  </si>
  <si>
    <t>26 00 00</t>
  </si>
  <si>
    <t>ELECTRICAL</t>
  </si>
  <si>
    <t>LIGHTING FIXTURES</t>
  </si>
  <si>
    <t>E2.01 - E3.6</t>
  </si>
  <si>
    <t>Ceiling Mounted Light Motion Sensor</t>
  </si>
  <si>
    <t>Dimmer - Wall Mounted</t>
  </si>
  <si>
    <t>PC: Photo Cell</t>
  </si>
  <si>
    <t>Power Pack For Motion Sensor</t>
  </si>
  <si>
    <t>R: 20A Receptacle Rated Switchpack</t>
  </si>
  <si>
    <t>RC: Room Controller With Three Relay</t>
  </si>
  <si>
    <t>Wall Mounted Light Dimming Motion Sensor</t>
  </si>
  <si>
    <t>Wall Mounted Light Motion Sensor</t>
  </si>
  <si>
    <r>
      <rPr>
        <b/>
        <sz val="12"/>
        <rFont val="Calibri"/>
        <family val="2"/>
        <scheme val="minor"/>
      </rPr>
      <t>A: 48" SURFACE MOUNTED LINEAR LED</t>
    </r>
    <r>
      <rPr>
        <sz val="12"/>
        <rFont val="Calibri"/>
        <family val="2"/>
        <scheme val="minor"/>
      </rPr>
      <t xml:space="preserve">
Mfr./Model: COOPER METALUX 4WNLEDLD440SLFUNVL</t>
    </r>
  </si>
  <si>
    <r>
      <rPr>
        <b/>
        <sz val="12"/>
        <rFont val="Calibri"/>
        <family val="2"/>
        <scheme val="minor"/>
      </rPr>
      <t xml:space="preserve">AE: 48" EMERGENCY SURFACE MOUNTED LINEAR LED </t>
    </r>
    <r>
      <rPr>
        <sz val="12"/>
        <rFont val="Calibri"/>
        <family val="2"/>
        <scheme val="minor"/>
      </rPr>
      <t xml:space="preserve">
Mfr./Model: COOPER METALUX 4WNLEDLD440SLFUNVL</t>
    </r>
  </si>
  <si>
    <r>
      <rPr>
        <b/>
        <sz val="12"/>
        <rFont val="Calibri"/>
        <family val="2"/>
        <scheme val="minor"/>
      </rPr>
      <t>B: 4.5" DIAMETER RECESSED LED</t>
    </r>
    <r>
      <rPr>
        <sz val="12"/>
        <rFont val="Calibri"/>
        <family val="2"/>
        <scheme val="minor"/>
      </rPr>
      <t xml:space="preserve">
Mfr./Model: H.E. WILLIAMS 4DR-TL-L20-8-30-DIM
-UNV-O-W-OF-CS-MWT-WET/CC</t>
    </r>
  </si>
  <si>
    <r>
      <rPr>
        <b/>
        <sz val="12"/>
        <rFont val="Calibri"/>
        <family val="2"/>
        <scheme val="minor"/>
      </rPr>
      <t>BE: 4.5" DIAMETER EMERGENCY RECESSED LED</t>
    </r>
    <r>
      <rPr>
        <sz val="12"/>
        <rFont val="Calibri"/>
        <family val="2"/>
        <scheme val="minor"/>
      </rPr>
      <t xml:space="preserve">
Mfr./Model: H.E. WILLIAMS 4DR-TL-L20-8-30-DIM
-UNV-O-W-OF-CS-MWT-WET/CC</t>
    </r>
  </si>
  <si>
    <r>
      <rPr>
        <b/>
        <sz val="12"/>
        <rFont val="Calibri"/>
        <family val="2"/>
        <scheme val="minor"/>
      </rPr>
      <t>C: 48" RECESSED LINEAR LED</t>
    </r>
    <r>
      <rPr>
        <sz val="12"/>
        <rFont val="Calibri"/>
        <family val="2"/>
        <scheme val="minor"/>
      </rPr>
      <t xml:space="preserve">
Mfr./Model: FSC LIGHTING L28548-32WT-35K</t>
    </r>
  </si>
  <si>
    <r>
      <rPr>
        <b/>
        <sz val="12"/>
        <rFont val="Calibri"/>
        <family val="2"/>
        <scheme val="minor"/>
      </rPr>
      <t>CE: 48" EMERGENCY RECESSED LINEAR LED</t>
    </r>
    <r>
      <rPr>
        <sz val="12"/>
        <rFont val="Calibri"/>
        <family val="2"/>
        <scheme val="minor"/>
      </rPr>
      <t xml:space="preserve">
Mfr./Model: FSC LIGHTING L28548-32WT-35K</t>
    </r>
  </si>
  <si>
    <r>
      <rPr>
        <b/>
        <sz val="12"/>
        <rFont val="Calibri"/>
        <family val="2"/>
        <scheme val="minor"/>
      </rPr>
      <t>D: 48" LED SUSPENDED LINEAR</t>
    </r>
    <r>
      <rPr>
        <sz val="12"/>
        <rFont val="Calibri"/>
        <family val="2"/>
        <scheme val="minor"/>
      </rPr>
      <t xml:space="preserve">
Mfr./Model: AFX LIGHTING PRCL450750LAJUDWH</t>
    </r>
  </si>
  <si>
    <r>
      <rPr>
        <b/>
        <sz val="12"/>
        <rFont val="Calibri"/>
        <family val="2"/>
        <scheme val="minor"/>
      </rPr>
      <t>DE: 48" EMERGENCY LED SUSPENDED LINEAR</t>
    </r>
    <r>
      <rPr>
        <sz val="12"/>
        <rFont val="Calibri"/>
        <family val="2"/>
        <scheme val="minor"/>
      </rPr>
      <t xml:space="preserve">
Mfr./Model: AFX LIGHTING PRCL450750LAJUDWH</t>
    </r>
  </si>
  <si>
    <r>
      <rPr>
        <b/>
        <sz val="12"/>
        <rFont val="Calibri"/>
        <family val="2"/>
        <scheme val="minor"/>
      </rPr>
      <t>E: SURFACE MOUNTED LED</t>
    </r>
    <r>
      <rPr>
        <sz val="12"/>
        <rFont val="Calibri"/>
        <family val="2"/>
        <scheme val="minor"/>
      </rPr>
      <t xml:space="preserve">
Mfr./Model: RAB LIGHTING EZPAN2X4-40-N/D10</t>
    </r>
  </si>
  <si>
    <r>
      <rPr>
        <b/>
        <sz val="12"/>
        <rFont val="Calibri"/>
        <family val="2"/>
        <scheme val="minor"/>
      </rPr>
      <t>EA: EXTERIOR WALL MOUNT LIGHT</t>
    </r>
    <r>
      <rPr>
        <sz val="12"/>
        <rFont val="Calibri"/>
        <family val="2"/>
        <scheme val="minor"/>
      </rPr>
      <t xml:space="preserve">
Mfr./Model: MAXIM LIGHTING LIGHTRAY LED 86102AL</t>
    </r>
  </si>
  <si>
    <r>
      <rPr>
        <b/>
        <sz val="12"/>
        <rFont val="Calibri"/>
        <family val="2"/>
        <scheme val="minor"/>
      </rPr>
      <t>EAE: EMERGENCY EXTERIOR WALL MOUNT LIGHT</t>
    </r>
    <r>
      <rPr>
        <sz val="12"/>
        <rFont val="Calibri"/>
        <family val="2"/>
        <scheme val="minor"/>
      </rPr>
      <t xml:space="preserve">
Mfr./Model: MAXIM LIGHTING LIGHTRAY LED 86102AL</t>
    </r>
  </si>
  <si>
    <r>
      <rPr>
        <b/>
        <sz val="12"/>
        <rFont val="Calibri"/>
        <family val="2"/>
        <scheme val="minor"/>
      </rPr>
      <t>EBE: EMERGENCY STEP LIGHT RECESSED</t>
    </r>
    <r>
      <rPr>
        <sz val="12"/>
        <rFont val="Calibri"/>
        <family val="2"/>
        <scheme val="minor"/>
      </rPr>
      <t xml:space="preserve">
Mfr./Model: FOCUS INDUSTRIES SL-60 SERIES</t>
    </r>
  </si>
  <si>
    <r>
      <rPr>
        <b/>
        <sz val="12"/>
        <rFont val="Calibri"/>
        <family val="2"/>
        <scheme val="minor"/>
      </rPr>
      <t>EE: EMERGENCY SURFACE MOUNTED LED</t>
    </r>
    <r>
      <rPr>
        <sz val="12"/>
        <rFont val="Calibri"/>
        <family val="2"/>
        <scheme val="minor"/>
      </rPr>
      <t xml:space="preserve">
Mfr./Model: RAB LIGHTING EZPAN2X4-40-N/D10</t>
    </r>
  </si>
  <si>
    <r>
      <rPr>
        <b/>
        <sz val="12"/>
        <rFont val="Calibri"/>
        <family val="2"/>
        <scheme val="minor"/>
      </rPr>
      <t>Elevator Light Fixture</t>
    </r>
    <r>
      <rPr>
        <sz val="12"/>
        <rFont val="Calibri"/>
        <family val="2"/>
        <scheme val="minor"/>
      </rPr>
      <t xml:space="preserve">
Mfr./Model: VFN-26-C-U-W-LP-PG</t>
    </r>
  </si>
  <si>
    <r>
      <rPr>
        <b/>
        <sz val="12"/>
        <rFont val="Calibri"/>
        <family val="2"/>
        <scheme val="minor"/>
      </rPr>
      <t>EX: EXIT SIGN</t>
    </r>
    <r>
      <rPr>
        <sz val="12"/>
        <rFont val="Calibri"/>
        <family val="2"/>
        <scheme val="minor"/>
      </rPr>
      <t xml:space="preserve">
Mfr./Model: BEST LED EZXTEU2GWEM</t>
    </r>
  </si>
  <si>
    <r>
      <rPr>
        <b/>
        <sz val="12"/>
        <rFont val="Calibri"/>
        <family val="2"/>
        <scheme val="minor"/>
      </rPr>
      <t>F: 96" LED SUSPENDED LINEAR</t>
    </r>
    <r>
      <rPr>
        <sz val="12"/>
        <rFont val="Calibri"/>
        <family val="2"/>
        <scheme val="minor"/>
      </rPr>
      <t xml:space="preserve">
Mfr./Model: ELITE LIGHTING 8-OC1-LED-8000L-DIM10-35K-85</t>
    </r>
  </si>
  <si>
    <r>
      <rPr>
        <b/>
        <sz val="12"/>
        <rFont val="Calibri"/>
        <family val="2"/>
        <scheme val="minor"/>
      </rPr>
      <t>F1: 96" LED SUSPENDED LINEAR</t>
    </r>
    <r>
      <rPr>
        <sz val="12"/>
        <rFont val="Calibri"/>
        <family val="2"/>
        <scheme val="minor"/>
      </rPr>
      <t xml:space="preserve">
Mfr./Model: ELITE LIGHTING 8-OC1-LED-8000L-DIM10-35K-85
 - Provide Motion Sensor.</t>
    </r>
  </si>
  <si>
    <r>
      <rPr>
        <b/>
        <sz val="12"/>
        <rFont val="Calibri"/>
        <family val="2"/>
        <scheme val="minor"/>
      </rPr>
      <t>F1E: 96" EMERGENCY LED SUSPENDED LINEAR</t>
    </r>
    <r>
      <rPr>
        <sz val="12"/>
        <rFont val="Calibri"/>
        <family val="2"/>
        <scheme val="minor"/>
      </rPr>
      <t xml:space="preserve">
Mfr./Model: ELITE LIGHTING 8-OC1-LED-8000L-DIM10-35K-85
 - Provide Motion Sensor.</t>
    </r>
  </si>
  <si>
    <r>
      <rPr>
        <b/>
        <sz val="12"/>
        <rFont val="Calibri"/>
        <family val="2"/>
        <scheme val="minor"/>
      </rPr>
      <t>F: 96" EMERGENCY LED SUSPENDED LINEAR</t>
    </r>
    <r>
      <rPr>
        <sz val="12"/>
        <rFont val="Calibri"/>
        <family val="2"/>
        <scheme val="minor"/>
      </rPr>
      <t xml:space="preserve">
Mfr./Model: ELITE LIGHTING 8-OC1-LED-8000L-DIM10-35K-85</t>
    </r>
  </si>
  <si>
    <r>
      <rPr>
        <b/>
        <sz val="12"/>
        <rFont val="Calibri"/>
        <family val="2"/>
        <scheme val="minor"/>
      </rPr>
      <t>G: SURFACE MOUNTED LED</t>
    </r>
    <r>
      <rPr>
        <sz val="12"/>
        <rFont val="Calibri"/>
        <family val="2"/>
        <scheme val="minor"/>
      </rPr>
      <t xml:space="preserve">
Mfr..Model: To Be Determined</t>
    </r>
  </si>
  <si>
    <r>
      <rPr>
        <b/>
        <sz val="12"/>
        <rFont val="Calibri"/>
        <family val="2"/>
        <scheme val="minor"/>
      </rPr>
      <t>UA: 4.5" DIAMETER RECESSED LED</t>
    </r>
    <r>
      <rPr>
        <sz val="12"/>
        <rFont val="Calibri"/>
        <family val="2"/>
        <scheme val="minor"/>
      </rPr>
      <t xml:space="preserve">
Mfr./Model: H.E. WILLIAMS: 4DR-TL-L20-8-30-DIM
-UNV-O-W-OF-CS-MWT-WET/CC</t>
    </r>
  </si>
  <si>
    <r>
      <rPr>
        <b/>
        <sz val="12"/>
        <rFont val="Calibri"/>
        <family val="2"/>
        <scheme val="minor"/>
      </rPr>
      <t>UB: SUSPENDED CEILING FAN WITH LIGHT</t>
    </r>
    <r>
      <rPr>
        <sz val="12"/>
        <rFont val="Calibri"/>
        <family val="2"/>
        <scheme val="minor"/>
      </rPr>
      <t xml:space="preserve">
Mfr./Model: To Be Determined</t>
    </r>
  </si>
  <si>
    <t>POWER FIXTURES</t>
  </si>
  <si>
    <t>E1.0 - E-4.1</t>
  </si>
  <si>
    <t>120V Toggle Type Motor Rated Switch</t>
  </si>
  <si>
    <t>208V Motor rated Toggle Disconnect Switch</t>
  </si>
  <si>
    <t>4D Junction Box</t>
  </si>
  <si>
    <t>5KVA Inverter - 120/208V, 1Ø</t>
  </si>
  <si>
    <t>60AS, 40AF, 30P Fuse Disconnect Switch</t>
  </si>
  <si>
    <r>
      <t xml:space="preserve">AVCP
</t>
    </r>
    <r>
      <rPr>
        <b/>
        <i/>
        <sz val="12"/>
        <color rgb="FF0070C0"/>
        <rFont val="Calibri"/>
        <family val="2"/>
        <scheme val="minor"/>
      </rPr>
      <t>Note: No Detail Available. Please Confirm.</t>
    </r>
  </si>
  <si>
    <t>Ceiling Mounted Receptacle GFCI</t>
  </si>
  <si>
    <t>Combination Telephone &amp; Data Outlet</t>
  </si>
  <si>
    <t>Combination TV Oulet &amp; Duplex Receptacle</t>
  </si>
  <si>
    <t>DAS: Distributed Antenna System Panel</t>
  </si>
  <si>
    <t>Door Bell</t>
  </si>
  <si>
    <t>Door Bell Push Button</t>
  </si>
  <si>
    <t>Double Duplex Outlet</t>
  </si>
  <si>
    <t>Duplex Receptacle</t>
  </si>
  <si>
    <t>Duplex Receptacle for Dryer</t>
  </si>
  <si>
    <t>Duplex Receptacle GFCI</t>
  </si>
  <si>
    <t>Duplex Receptacle GFCI WP</t>
  </si>
  <si>
    <t>Electric Meter - 1000A</t>
  </si>
  <si>
    <t>Electric Sub-Meter - 200A</t>
  </si>
  <si>
    <t>Electric Sub-Meter - 100A</t>
  </si>
  <si>
    <t>Electric Sub-Meter - 400A</t>
  </si>
  <si>
    <t>Electric Sub-Meter - 60A</t>
  </si>
  <si>
    <t>Electrical Cooking Outlet</t>
  </si>
  <si>
    <t>Elevator Control Panel
 -32KVA, 88A</t>
  </si>
  <si>
    <t>ER: Emergency Relay</t>
  </si>
  <si>
    <t>FACP: Fire Alarm Control Panel</t>
  </si>
  <si>
    <t>Grounded Type Duplex Receptacle (Half Switch</t>
  </si>
  <si>
    <t>Junction Box</t>
  </si>
  <si>
    <t>Media Box</t>
  </si>
  <si>
    <t>Pad Mounted Transformer
 - 120/208V, 3ɸ, 4W</t>
  </si>
  <si>
    <t>Parking control signal outlet box</t>
  </si>
  <si>
    <r>
      <t xml:space="preserve">SECP
</t>
    </r>
    <r>
      <rPr>
        <b/>
        <i/>
        <sz val="12"/>
        <color rgb="FF0070C0"/>
        <rFont val="Calibri"/>
        <family val="2"/>
        <scheme val="minor"/>
      </rPr>
      <t>Note: No Detail Available. Please Confirm.</t>
    </r>
  </si>
  <si>
    <t>Single Pole Toggle Switch</t>
  </si>
  <si>
    <t>Single Pole Toggle Switch With Pilot Light</t>
  </si>
  <si>
    <t>Smoke Detector</t>
  </si>
  <si>
    <t>Smoke/Carbon Monoxide Detector</t>
  </si>
  <si>
    <t>Telephone Outlet</t>
  </si>
  <si>
    <t>Time Clock</t>
  </si>
  <si>
    <t>Toggle Switch - Key Operated</t>
  </si>
  <si>
    <t>Toggle Type Motor Rated Switch</t>
  </si>
  <si>
    <t>ELECTRICAL PANELS</t>
  </si>
  <si>
    <t>E3.1 - E4.3</t>
  </si>
  <si>
    <t>Main Distribution Section</t>
  </si>
  <si>
    <t>Circuit Breaker 1000A/3P</t>
  </si>
  <si>
    <t>Circuit Breaker 100A/3P</t>
  </si>
  <si>
    <t>Circuit Breaker 200A/3P</t>
  </si>
  <si>
    <t>Circuit Breaker 300A/3P</t>
  </si>
  <si>
    <t>Circuit Breaker 400A/3P</t>
  </si>
  <si>
    <t>Circuit Breaker 60A/2P</t>
  </si>
  <si>
    <t>Electric Panel EV</t>
  </si>
  <si>
    <t>Circuit Breaker 20A/1P</t>
  </si>
  <si>
    <t>Circuit Breaker 40A/2P</t>
  </si>
  <si>
    <t>Electric Panel HL</t>
  </si>
  <si>
    <t>Electric Panel HM</t>
  </si>
  <si>
    <t>Electric Panel HP</t>
  </si>
  <si>
    <t>Electric Panel HP4</t>
  </si>
  <si>
    <t>Circuit Breaker 30A/2P</t>
  </si>
  <si>
    <t>Electric Panel HQ</t>
  </si>
  <si>
    <t>Circuit Breaker 15A/2P</t>
  </si>
  <si>
    <t>Circuit Breaker 25A/2P</t>
  </si>
  <si>
    <t>Circuit Breaker 30A/3P</t>
  </si>
  <si>
    <t>Circuit Breaker 40A/3P</t>
  </si>
  <si>
    <t>Circuit Breaker 50A/2P</t>
  </si>
  <si>
    <t>Circuit Breaker 50A/3P</t>
  </si>
  <si>
    <t>Circuit Breaker 60A/3P</t>
  </si>
  <si>
    <t>Electric Panel INV</t>
  </si>
  <si>
    <t>Electrical Panel 1B1/XXX</t>
  </si>
  <si>
    <t>Electrical Panel 1B2/XXX</t>
  </si>
  <si>
    <t>Electrical Panel 1B3/XXX</t>
  </si>
  <si>
    <t>Electrical Panel 2B1/XXX</t>
  </si>
  <si>
    <t>Electrical Panel 2B2/XXX</t>
  </si>
  <si>
    <t>Electrical Panel 2B3/XXX</t>
  </si>
  <si>
    <t>Electrical Panel 3B1/XXX</t>
  </si>
  <si>
    <t>Electrical Panel 3B2/XXX</t>
  </si>
  <si>
    <t>Electrical Panel 3B3/XXX</t>
  </si>
  <si>
    <t>Electrical Panel 3B4/XXX</t>
  </si>
  <si>
    <t>ALLOWANCE</t>
  </si>
  <si>
    <t>Allowance for Electrical Wiring, Feeders, Grounding and Misc. Electrical Requirements.</t>
  </si>
  <si>
    <t>Electrical Sub Total</t>
  </si>
  <si>
    <t>MEP</t>
  </si>
  <si>
    <t>S7</t>
  </si>
  <si>
    <t>1.66" O.D. Steel Pipe Handrail (3'-0" High)
- 1/2" Dia. Steel Bracket @ 5'-0" O.C.
- 4" Dia. X 1/4" Steel Plate
- 5/8" Dia. Steel Spacer
- No.14 x 3" Self-Tap S.M. Screw
- 16GA. Backing @ Steel Stud Wall</t>
  </si>
  <si>
    <r>
      <rPr>
        <b/>
        <sz val="12"/>
        <rFont val="Calibri"/>
        <family val="2"/>
        <scheme val="minor"/>
      </rPr>
      <t>Elevator Pit Ladder As;</t>
    </r>
    <r>
      <rPr>
        <sz val="12"/>
        <rFont val="Calibri"/>
        <family val="2"/>
        <scheme val="minor"/>
      </rPr>
      <t xml:space="preserve">
- 2-1/2"x2-1/2" Steel Stringers
- 3"x7"x1/4" Thkx 3" Clip Angle Welded To Ladder Stringers
- 3/4" Dia. Rung @12" O.C. W/ Slip Resistant Finish
- 3"x3"x1/4" Thkx 3" Clip Angle Welded To Ladder Stringers</t>
    </r>
  </si>
  <si>
    <t>13/A9.70</t>
  </si>
  <si>
    <t>1/A9.70</t>
  </si>
  <si>
    <t>1.66" O.D. Steel Pipe Guardrail (3'-6" High)
- 1/2" Dia. Steel Bracket @ 5'-0" O.C.
- 4" Dia. X 1/4" Steel Plate
- 5/8" Dia. Steel Spacer
- No.14 x 3" Self-Tap S.M. Screw
- 16GA. Backing @ Steel Stud Wall</t>
  </si>
  <si>
    <t>DECORATIVE RAILINGS</t>
  </si>
  <si>
    <t>2'-10" High Decorative Guard Railing @ Balconies</t>
  </si>
  <si>
    <t>Note:0522</t>
  </si>
  <si>
    <t>WALL MURAL</t>
  </si>
  <si>
    <t>Note:0975</t>
  </si>
  <si>
    <r>
      <rPr>
        <sz val="12"/>
        <rFont val="Calibri"/>
        <family val="2"/>
        <scheme val="minor"/>
      </rPr>
      <t>Wall Mural</t>
    </r>
    <r>
      <rPr>
        <b/>
        <sz val="12"/>
        <rFont val="Calibri"/>
        <family val="2"/>
        <scheme val="minor"/>
      </rPr>
      <t xml:space="preserve">
Size: </t>
    </r>
    <r>
      <rPr>
        <sz val="12"/>
        <rFont val="Calibri"/>
        <family val="2"/>
        <scheme val="minor"/>
      </rPr>
      <t xml:space="preserve">11'-0" Wide x 20'-0" High
</t>
    </r>
  </si>
  <si>
    <r>
      <rPr>
        <sz val="12"/>
        <rFont val="Calibri"/>
        <family val="2"/>
        <scheme val="minor"/>
      </rPr>
      <t>Wall Mural</t>
    </r>
    <r>
      <rPr>
        <b/>
        <sz val="12"/>
        <rFont val="Calibri"/>
        <family val="2"/>
        <scheme val="minor"/>
      </rPr>
      <t xml:space="preserve">
Size: </t>
    </r>
    <r>
      <rPr>
        <sz val="12"/>
        <rFont val="Calibri"/>
        <family val="2"/>
        <scheme val="minor"/>
      </rPr>
      <t xml:space="preserve">11'-0" Wide x 6'-6" High
</t>
    </r>
  </si>
  <si>
    <t>EXTERIOR SIGNAGES</t>
  </si>
  <si>
    <r>
      <rPr>
        <b/>
        <sz val="12"/>
        <rFont val="Calibri"/>
        <family val="2"/>
        <scheme val="minor"/>
      </rPr>
      <t>Exterior Signage Building Address</t>
    </r>
    <r>
      <rPr>
        <sz val="12"/>
        <rFont val="Calibri"/>
        <family val="2"/>
        <scheme val="minor"/>
      </rPr>
      <t xml:space="preserve">
</t>
    </r>
    <r>
      <rPr>
        <b/>
        <sz val="12"/>
        <rFont val="Calibri"/>
        <family val="2"/>
        <scheme val="minor"/>
      </rPr>
      <t xml:space="preserve">Lettering: </t>
    </r>
    <r>
      <rPr>
        <sz val="12"/>
        <rFont val="Calibri"/>
        <family val="2"/>
        <scheme val="minor"/>
      </rPr>
      <t xml:space="preserve">6TH GRAND
</t>
    </r>
    <r>
      <rPr>
        <b/>
        <sz val="12"/>
        <rFont val="Calibri"/>
        <family val="2"/>
        <scheme val="minor"/>
      </rPr>
      <t>Size:</t>
    </r>
    <r>
      <rPr>
        <sz val="12"/>
        <rFont val="Calibri"/>
        <family val="2"/>
        <scheme val="minor"/>
      </rPr>
      <t xml:space="preserve"> 8'-0"Wide x 1'-0" High</t>
    </r>
  </si>
  <si>
    <t>Note:0976</t>
  </si>
  <si>
    <t>Exterior Signages Sub Total</t>
  </si>
  <si>
    <r>
      <t xml:space="preserve">CT Tile Flooring
</t>
    </r>
    <r>
      <rPr>
        <b/>
        <i/>
        <sz val="12"/>
        <color rgb="FF002060"/>
        <rFont val="Calibri"/>
        <family val="2"/>
        <scheme val="minor"/>
      </rPr>
      <t>Note: No Specs found on plans.</t>
    </r>
  </si>
  <si>
    <t>Note: We have also included the sealed concrete flooring @ parking level in our estimate. Please confirm</t>
  </si>
  <si>
    <r>
      <t xml:space="preserve">WB Wood Wall Base @ Corridors
</t>
    </r>
    <r>
      <rPr>
        <b/>
        <i/>
        <sz val="12"/>
        <color rgb="FF002060"/>
        <rFont val="Calibri"/>
        <family val="2"/>
        <scheme val="minor"/>
      </rPr>
      <t>Note: No Specs found on plans.</t>
    </r>
  </si>
  <si>
    <r>
      <t xml:space="preserve">WB Wood Wall Base
</t>
    </r>
    <r>
      <rPr>
        <b/>
        <i/>
        <sz val="12"/>
        <color rgb="FF002060"/>
        <rFont val="Calibri"/>
        <family val="2"/>
        <scheme val="minor"/>
      </rPr>
      <t>Note: No Specs found on plans.</t>
    </r>
  </si>
  <si>
    <r>
      <t xml:space="preserve">VNP Flooring @ Corridors
</t>
    </r>
    <r>
      <rPr>
        <b/>
        <i/>
        <sz val="12"/>
        <color rgb="FF002060"/>
        <rFont val="Calibri"/>
        <family val="2"/>
        <scheme val="minor"/>
      </rPr>
      <t>Note: No Specs found on plans.</t>
    </r>
  </si>
  <si>
    <r>
      <t xml:space="preserve">VNP Flooring
</t>
    </r>
    <r>
      <rPr>
        <b/>
        <i/>
        <sz val="12"/>
        <color rgb="FF002060"/>
        <rFont val="Calibri"/>
        <family val="2"/>
        <scheme val="minor"/>
      </rPr>
      <t>Note: No Specs found on plans.</t>
    </r>
  </si>
  <si>
    <r>
      <t xml:space="preserve">Carpet Flooring
</t>
    </r>
    <r>
      <rPr>
        <b/>
        <i/>
        <sz val="12"/>
        <color rgb="FF002060"/>
        <rFont val="Calibri"/>
        <family val="2"/>
        <scheme val="minor"/>
      </rPr>
      <t>Note: No Specs found on plans.</t>
    </r>
  </si>
  <si>
    <r>
      <t xml:space="preserve">CT Wall Tile
</t>
    </r>
    <r>
      <rPr>
        <b/>
        <i/>
        <sz val="12"/>
        <color rgb="FF002060"/>
        <rFont val="Calibri"/>
        <family val="2"/>
        <scheme val="minor"/>
      </rPr>
      <t>Note: No Specs found on plans.</t>
    </r>
  </si>
  <si>
    <r>
      <t xml:space="preserve">CT Tile Wall Base
</t>
    </r>
    <r>
      <rPr>
        <b/>
        <i/>
        <sz val="12"/>
        <color rgb="FF002060"/>
        <rFont val="Calibri"/>
        <family val="2"/>
        <scheme val="minor"/>
      </rPr>
      <t>Note: No Specs found on plans.</t>
    </r>
  </si>
  <si>
    <t>Note: As per the finish schedule it does not show any floor finish @ corridors so we have assumed it in our estimate. Please Confirm and VIF</t>
  </si>
  <si>
    <t>Note: As per the finish schedule it does not show any base @ corridors so we have assumed it in our estimate. Please Confirm and VIF</t>
  </si>
  <si>
    <t>Note: As per the finish schedule it shows CP/VNP in the apartment areas so we have included VNP in the base bid and CP as an alternate in our estimate. Please confirm and VIF</t>
  </si>
  <si>
    <r>
      <t>Carpet Flooring</t>
    </r>
    <r>
      <rPr>
        <b/>
        <i/>
        <sz val="12"/>
        <color rgb="FF002060"/>
        <rFont val="Calibri"/>
        <family val="2"/>
        <scheme val="minor"/>
      </rPr>
      <t xml:space="preserve">
Note: No Specs found on plans.</t>
    </r>
  </si>
  <si>
    <t>Paint On Concrete Walls</t>
  </si>
  <si>
    <t>Metal Panel System Sub Total</t>
  </si>
  <si>
    <t>Metal Cladding Wrapped @ Wood Posts</t>
  </si>
  <si>
    <t>Note:0609</t>
  </si>
  <si>
    <t>A2.21</t>
  </si>
  <si>
    <t>FLOOR UNDERLAYMENT</t>
  </si>
  <si>
    <t>Floor Underlayment Sub Total</t>
  </si>
  <si>
    <t>DECKCOATING</t>
  </si>
  <si>
    <t>Deckcoating Sub Total</t>
  </si>
  <si>
    <t>Deckcoating</t>
  </si>
  <si>
    <r>
      <rPr>
        <b/>
        <sz val="12"/>
        <rFont val="Calibri"/>
        <family val="2"/>
        <scheme val="minor"/>
      </rPr>
      <t>Floor Underlayment As;</t>
    </r>
    <r>
      <rPr>
        <sz val="12"/>
        <rFont val="Calibri"/>
        <family val="2"/>
        <scheme val="minor"/>
      </rPr>
      <t xml:space="preserve">
- 1" Gypcrete</t>
    </r>
  </si>
  <si>
    <t>Assembly-1&amp;17/A9.25</t>
  </si>
  <si>
    <r>
      <rPr>
        <b/>
        <sz val="12"/>
        <rFont val="Calibri"/>
        <family val="2"/>
        <scheme val="minor"/>
      </rPr>
      <t>Roof/Ceiling Assembly - 4 Interior As;</t>
    </r>
    <r>
      <rPr>
        <sz val="12"/>
        <rFont val="Calibri"/>
        <family val="2"/>
        <scheme val="minor"/>
      </rPr>
      <t xml:space="preserve">
- (1) Layer of 5/8" Type"X" Gypsum Board Ceiling
- 1/2" Resilient Channels
- 12"Thk R-38 Batt Insulation</t>
    </r>
  </si>
  <si>
    <r>
      <rPr>
        <b/>
        <sz val="12"/>
        <rFont val="Calibri"/>
        <family val="2"/>
        <scheme val="minor"/>
      </rPr>
      <t>Floor/Ceiling Assembly - 17 As;</t>
    </r>
    <r>
      <rPr>
        <sz val="12"/>
        <rFont val="Calibri"/>
        <family val="2"/>
        <scheme val="minor"/>
      </rPr>
      <t xml:space="preserve">
- (2) Layers of 5/8" Type"X" Gypsum Board Ceiling
- 3-1/2"Thk R-19 Batt Insulation</t>
    </r>
  </si>
  <si>
    <r>
      <rPr>
        <b/>
        <sz val="12"/>
        <rFont val="Calibri"/>
        <family val="2"/>
        <scheme val="minor"/>
      </rPr>
      <t>PT-2 Cement Plaster System @ Exterior Soffit As;</t>
    </r>
    <r>
      <rPr>
        <sz val="12"/>
        <rFont val="Calibri"/>
        <family val="2"/>
        <scheme val="minor"/>
      </rPr>
      <t xml:space="preserve">
- 7/8" Exterior Cement Plaster O/
- Lath O/ (2) Layers Building Papers O/
- 2-1/2" Metal Framing
- Insulation
Color: Dunn Edwards-Charcoal Smudge</t>
    </r>
  </si>
  <si>
    <t>INTERIOR SIGNAGES</t>
  </si>
  <si>
    <t>Interior Signages Sub Total</t>
  </si>
  <si>
    <r>
      <rPr>
        <b/>
        <sz val="12"/>
        <rFont val="Calibri"/>
        <family val="2"/>
        <scheme val="minor"/>
      </rPr>
      <t>Trash Room Signage</t>
    </r>
    <r>
      <rPr>
        <sz val="12"/>
        <rFont val="Calibri"/>
        <family val="2"/>
        <scheme val="minor"/>
      </rPr>
      <t xml:space="preserve">
</t>
    </r>
    <r>
      <rPr>
        <b/>
        <sz val="12"/>
        <rFont val="Calibri"/>
        <family val="2"/>
        <scheme val="minor"/>
      </rPr>
      <t xml:space="preserve">Lettering: </t>
    </r>
    <r>
      <rPr>
        <sz val="12"/>
        <rFont val="Calibri"/>
        <family val="2"/>
        <scheme val="minor"/>
      </rPr>
      <t xml:space="preserve">RECYCLING
</t>
    </r>
    <r>
      <rPr>
        <b/>
        <sz val="12"/>
        <rFont val="Calibri"/>
        <family val="2"/>
        <scheme val="minor"/>
      </rPr>
      <t>Size:</t>
    </r>
    <r>
      <rPr>
        <sz val="12"/>
        <rFont val="Calibri"/>
        <family val="2"/>
        <scheme val="minor"/>
      </rPr>
      <t xml:space="preserve"> 6"Wide x 4" High</t>
    </r>
  </si>
  <si>
    <t>3/A9.01</t>
  </si>
  <si>
    <r>
      <rPr>
        <b/>
        <sz val="12"/>
        <rFont val="Calibri"/>
        <family val="2"/>
        <scheme val="minor"/>
      </rPr>
      <t>Trash Room Signage</t>
    </r>
    <r>
      <rPr>
        <sz val="12"/>
        <rFont val="Calibri"/>
        <family val="2"/>
        <scheme val="minor"/>
      </rPr>
      <t xml:space="preserve">
</t>
    </r>
    <r>
      <rPr>
        <b/>
        <sz val="12"/>
        <rFont val="Calibri"/>
        <family val="2"/>
        <scheme val="minor"/>
      </rPr>
      <t xml:space="preserve">Lettering: </t>
    </r>
    <r>
      <rPr>
        <sz val="12"/>
        <rFont val="Calibri"/>
        <family val="2"/>
        <scheme val="minor"/>
      </rPr>
      <t xml:space="preserve">SOLID WASTE
</t>
    </r>
    <r>
      <rPr>
        <b/>
        <sz val="12"/>
        <rFont val="Calibri"/>
        <family val="2"/>
        <scheme val="minor"/>
      </rPr>
      <t>Size:</t>
    </r>
    <r>
      <rPr>
        <sz val="12"/>
        <rFont val="Calibri"/>
        <family val="2"/>
        <scheme val="minor"/>
      </rPr>
      <t xml:space="preserve"> 6"Wide x 4" High</t>
    </r>
  </si>
  <si>
    <t>2/A9.01</t>
  </si>
  <si>
    <r>
      <rPr>
        <b/>
        <sz val="12"/>
        <rFont val="Calibri"/>
        <family val="2"/>
        <scheme val="minor"/>
      </rPr>
      <t>Elevator Signage</t>
    </r>
    <r>
      <rPr>
        <sz val="12"/>
        <rFont val="Calibri"/>
        <family val="2"/>
        <scheme val="minor"/>
      </rPr>
      <t xml:space="preserve">
</t>
    </r>
    <r>
      <rPr>
        <b/>
        <sz val="12"/>
        <rFont val="Calibri"/>
        <family val="2"/>
        <scheme val="minor"/>
      </rPr>
      <t>Size:</t>
    </r>
    <r>
      <rPr>
        <sz val="12"/>
        <rFont val="Calibri"/>
        <family val="2"/>
        <scheme val="minor"/>
      </rPr>
      <t xml:space="preserve"> 6"Wide x 8" High</t>
    </r>
  </si>
  <si>
    <t>1/A9.01</t>
  </si>
  <si>
    <r>
      <rPr>
        <b/>
        <sz val="12"/>
        <rFont val="Calibri"/>
        <family val="2"/>
        <scheme val="minor"/>
      </rPr>
      <t>Accessibility Sign @ Unit Entrance</t>
    </r>
    <r>
      <rPr>
        <sz val="12"/>
        <rFont val="Calibri"/>
        <family val="2"/>
        <scheme val="minor"/>
      </rPr>
      <t xml:space="preserve">
</t>
    </r>
    <r>
      <rPr>
        <b/>
        <sz val="12"/>
        <rFont val="Calibri"/>
        <family val="2"/>
        <scheme val="minor"/>
      </rPr>
      <t>Size:</t>
    </r>
    <r>
      <rPr>
        <sz val="12"/>
        <rFont val="Calibri"/>
        <family val="2"/>
        <scheme val="minor"/>
      </rPr>
      <t xml:space="preserve"> 6"Wide x 6" High</t>
    </r>
  </si>
  <si>
    <t>8/A9.01</t>
  </si>
  <si>
    <r>
      <rPr>
        <b/>
        <sz val="12"/>
        <rFont val="Calibri"/>
        <family val="2"/>
        <scheme val="minor"/>
      </rPr>
      <t>Assistive Listening Sign @ Unit Entrance</t>
    </r>
    <r>
      <rPr>
        <sz val="12"/>
        <rFont val="Calibri"/>
        <family val="2"/>
        <scheme val="minor"/>
      </rPr>
      <t xml:space="preserve">
</t>
    </r>
    <r>
      <rPr>
        <b/>
        <sz val="12"/>
        <rFont val="Calibri"/>
        <family val="2"/>
        <scheme val="minor"/>
      </rPr>
      <t>Size:</t>
    </r>
    <r>
      <rPr>
        <sz val="12"/>
        <rFont val="Calibri"/>
        <family val="2"/>
        <scheme val="minor"/>
      </rPr>
      <t xml:space="preserve"> 11"Wide x 6" High</t>
    </r>
  </si>
  <si>
    <r>
      <rPr>
        <b/>
        <sz val="12"/>
        <rFont val="Calibri"/>
        <family val="2"/>
        <scheme val="minor"/>
      </rPr>
      <t>Laundry Room Signage</t>
    </r>
    <r>
      <rPr>
        <sz val="12"/>
        <rFont val="Calibri"/>
        <family val="2"/>
        <scheme val="minor"/>
      </rPr>
      <t xml:space="preserve">
</t>
    </r>
    <r>
      <rPr>
        <b/>
        <sz val="12"/>
        <rFont val="Calibri"/>
        <family val="2"/>
        <scheme val="minor"/>
      </rPr>
      <t xml:space="preserve">Lettering: </t>
    </r>
    <r>
      <rPr>
        <sz val="12"/>
        <rFont val="Calibri"/>
        <family val="2"/>
        <scheme val="minor"/>
      </rPr>
      <t xml:space="preserve">LAUNDRY ROOM
</t>
    </r>
    <r>
      <rPr>
        <b/>
        <sz val="12"/>
        <rFont val="Calibri"/>
        <family val="2"/>
        <scheme val="minor"/>
      </rPr>
      <t>Size:</t>
    </r>
    <r>
      <rPr>
        <sz val="12"/>
        <rFont val="Calibri"/>
        <family val="2"/>
        <scheme val="minor"/>
      </rPr>
      <t xml:space="preserve"> 8"Wide x 4" High</t>
    </r>
  </si>
  <si>
    <t>5/A9.01</t>
  </si>
  <si>
    <t>9/A9.01</t>
  </si>
  <si>
    <r>
      <rPr>
        <b/>
        <sz val="12"/>
        <rFont val="Calibri"/>
        <family val="2"/>
        <scheme val="minor"/>
      </rPr>
      <t>Stairs Signage</t>
    </r>
    <r>
      <rPr>
        <sz val="12"/>
        <rFont val="Calibri"/>
        <family val="2"/>
        <scheme val="minor"/>
      </rPr>
      <t xml:space="preserve">
</t>
    </r>
    <r>
      <rPr>
        <b/>
        <sz val="12"/>
        <rFont val="Calibri"/>
        <family val="2"/>
        <scheme val="minor"/>
      </rPr>
      <t xml:space="preserve">Lettering: </t>
    </r>
    <r>
      <rPr>
        <sz val="12"/>
        <rFont val="Calibri"/>
        <family val="2"/>
        <scheme val="minor"/>
      </rPr>
      <t xml:space="preserve">STAIR #
</t>
    </r>
    <r>
      <rPr>
        <b/>
        <sz val="12"/>
        <rFont val="Calibri"/>
        <family val="2"/>
        <scheme val="minor"/>
      </rPr>
      <t>Size:</t>
    </r>
    <r>
      <rPr>
        <sz val="12"/>
        <rFont val="Calibri"/>
        <family val="2"/>
        <scheme val="minor"/>
      </rPr>
      <t xml:space="preserve"> 12"Wide x 18" High</t>
    </r>
  </si>
  <si>
    <r>
      <rPr>
        <b/>
        <sz val="12"/>
        <rFont val="Calibri"/>
        <family val="2"/>
        <scheme val="minor"/>
      </rPr>
      <t>Unit Number Signage</t>
    </r>
    <r>
      <rPr>
        <sz val="12"/>
        <rFont val="Calibri"/>
        <family val="2"/>
        <scheme val="minor"/>
      </rPr>
      <t xml:space="preserve">
</t>
    </r>
    <r>
      <rPr>
        <b/>
        <sz val="12"/>
        <rFont val="Calibri"/>
        <family val="2"/>
        <scheme val="minor"/>
      </rPr>
      <t xml:space="preserve">Lettering: </t>
    </r>
    <r>
      <rPr>
        <sz val="12"/>
        <rFont val="Calibri"/>
        <family val="2"/>
        <scheme val="minor"/>
      </rPr>
      <t xml:space="preserve">ROOM #
</t>
    </r>
    <r>
      <rPr>
        <b/>
        <sz val="12"/>
        <rFont val="Calibri"/>
        <family val="2"/>
        <scheme val="minor"/>
      </rPr>
      <t>Size:</t>
    </r>
    <r>
      <rPr>
        <sz val="12"/>
        <rFont val="Calibri"/>
        <family val="2"/>
        <scheme val="minor"/>
      </rPr>
      <t xml:space="preserve"> 5"Wide x 4" High</t>
    </r>
  </si>
  <si>
    <t>4/A9.01</t>
  </si>
  <si>
    <t>A2.01&amp;A2.11</t>
  </si>
  <si>
    <t>Truncated Dome</t>
  </si>
  <si>
    <t>Note:1080/A2.01</t>
  </si>
  <si>
    <t>Note:1104/A2.01</t>
  </si>
  <si>
    <t>Wheel Stop
- Precast Concrete</t>
  </si>
  <si>
    <t>Parking Strips</t>
  </si>
  <si>
    <t>Parking Aisle</t>
  </si>
  <si>
    <t>ADA Symbol</t>
  </si>
  <si>
    <t>Directional Arrows</t>
  </si>
  <si>
    <t>EXPANSION JOINT</t>
  </si>
  <si>
    <t>A2.11</t>
  </si>
  <si>
    <t>Expansion Joints Sub Total</t>
  </si>
  <si>
    <t>3&amp;4/A9.22</t>
  </si>
  <si>
    <t>Seismic Expansion Joint
- EMSEAL-WFR1 Seismic Joint</t>
  </si>
  <si>
    <t>Note:3242/A2.01</t>
  </si>
  <si>
    <t>Note:3330/A2.01</t>
  </si>
  <si>
    <t>Pipe Bollards</t>
  </si>
  <si>
    <t>Trench Drain</t>
  </si>
  <si>
    <t>Lumber Framing</t>
  </si>
  <si>
    <t>Trusses</t>
  </si>
  <si>
    <t>Lumber Sub Total</t>
  </si>
  <si>
    <t>Trusses Sub Total</t>
  </si>
  <si>
    <t>Sales Tax</t>
  </si>
  <si>
    <t>VLF</t>
  </si>
  <si>
    <t>Ladders Sub Total</t>
  </si>
  <si>
    <t>Railings Sub Total</t>
  </si>
  <si>
    <t>2/20/2023</t>
  </si>
  <si>
    <t>Building Concrete</t>
  </si>
  <si>
    <t>03 00 00</t>
  </si>
  <si>
    <t>CONCRETE</t>
  </si>
  <si>
    <t>FOUNDATION PLAN</t>
  </si>
  <si>
    <t>PAD FOOTING</t>
  </si>
  <si>
    <t>F6*
Length: 6'-0"
Width: 6'-0"
Depth: 1'-6"
Count: 01 EA</t>
  </si>
  <si>
    <t>S2</t>
  </si>
  <si>
    <t>Plan</t>
  </si>
  <si>
    <t>Concrete (4000 Psi)</t>
  </si>
  <si>
    <t>CY</t>
  </si>
  <si>
    <t>Formwork (Pad Footing)</t>
  </si>
  <si>
    <t>SFCA</t>
  </si>
  <si>
    <t>Excavation</t>
  </si>
  <si>
    <t>Backfill</t>
  </si>
  <si>
    <t>6 #4 Each Way Top</t>
  </si>
  <si>
    <t>6 #6 Each Way Bottom</t>
  </si>
  <si>
    <t>F7*
Length: 7'-0"
Width: 7'-0"
Depth: 1'-6"
Count: 02 EA</t>
  </si>
  <si>
    <t>6 #7 Each Way Bottom</t>
  </si>
  <si>
    <t>F7
Length: 7'-0"
Width: 7'-0"
Depth: 1'-6"
Count: 03 EA</t>
  </si>
  <si>
    <t>F8
Length: 8'-0"
Width: 8'-0"
Depth: 2'-0"
Count: 01 EA</t>
  </si>
  <si>
    <t>7 #4 Each Way Top</t>
  </si>
  <si>
    <t>7 #7 Each Way Bottom</t>
  </si>
  <si>
    <t>F9*
Length: 9'-0"
Width: 9'-0"
Depth: 2'-0"
Count: 01 EA</t>
  </si>
  <si>
    <t>7 #8 Each Way Bottom</t>
  </si>
  <si>
    <t>F9
Length: 9'-0"
Width: 9'-0"
Depth: 2'-0"
Count: 06 EA</t>
  </si>
  <si>
    <t>F10
Length: 10'-0"
Width: 10'-0"
Depth: 2'-0"
Count: 13 EA</t>
  </si>
  <si>
    <t>9 #4 Each Way Top</t>
  </si>
  <si>
    <t>9 #8 Each Way Bottom</t>
  </si>
  <si>
    <t>F11
Length: 11'-0"
Width: 11'-0"
Depth: 2'-0"
Count: 04 EA</t>
  </si>
  <si>
    <t>9 #9 Each Way Bottom</t>
  </si>
  <si>
    <t>WALL FOOTING</t>
  </si>
  <si>
    <t>Wall Footing 6A/SD1 3'W
Length: 76'-0"
Width: 3'-0"
Depth: 1'-3"</t>
  </si>
  <si>
    <t>6A/SD1</t>
  </si>
  <si>
    <t>Formwork (Wall Footing)</t>
  </si>
  <si>
    <t>4 #5 Cont</t>
  </si>
  <si>
    <t>#6 @ 12" O.C.Transverse Bars</t>
  </si>
  <si>
    <t>Wall Footing 6/SD1 4'W
Length: 125'-0"
Width: 4'-0"
Depth: 1'-3"</t>
  </si>
  <si>
    <t>6/SD1</t>
  </si>
  <si>
    <t>5 #5 Cont</t>
  </si>
  <si>
    <t>Wall Footing 5/SD1 2.5'W
Length: 328'-0"
Width: 2'-6"
Depth: 1'-3"</t>
  </si>
  <si>
    <t>5/SD1</t>
  </si>
  <si>
    <t>3 #5 Cont</t>
  </si>
  <si>
    <t>Wall Footing 4/SD1 3.75'W
Length: 35'-0"
Width: 3'-9"
Depth: 1'-3"</t>
  </si>
  <si>
    <t>4/SD1</t>
  </si>
  <si>
    <t>Wall Footing 3/SD1 3.75'W
Length: 21'-0"
Width: 3'-9"
Depth: 1'-3"</t>
  </si>
  <si>
    <t>3/SD1</t>
  </si>
  <si>
    <t>Wall Footing 2/SD1 3.5'W
Length: 80'-0"
Width: 3'-6"
Depth: 1'-3"</t>
  </si>
  <si>
    <t>2/SD1</t>
  </si>
  <si>
    <t>Wall Footing 7/SD1 3'W
Length: 17'-0"
Width: 3'-0"
Depth: 1'-3"</t>
  </si>
  <si>
    <t>7/SD1</t>
  </si>
  <si>
    <t>Wall Footing 1/SD2 2.5'W
Length: 42'-0"
Width: 2'-6"
Depth: 1'-0"</t>
  </si>
  <si>
    <t>1/SD2</t>
  </si>
  <si>
    <t>#5 @ 12" O.C.Transverse Bars</t>
  </si>
  <si>
    <t>Wall Footing 12" Wide
Length: 14'-0"
Width: 1'-0"
Depth: 2'-0"</t>
  </si>
  <si>
    <t>2 #5 Cont Top and Bottom</t>
  </si>
  <si>
    <t>#5 @ 12" O.C.Dowels</t>
  </si>
  <si>
    <t>Interior Wall Footing 18/S1.2 5'
Length: 70'-0"
Width: 5'-0"
Depth: 1'-2"</t>
  </si>
  <si>
    <t>18/S1.2</t>
  </si>
  <si>
    <t>2 #4 Cont</t>
  </si>
  <si>
    <t>#5 @ 12" O.C.Each Way</t>
  </si>
  <si>
    <t>Interior Wall Footing 18/S1.2 3'
Length: 75'-0"
Width: 3'-0"
Depth: 1'-2"</t>
  </si>
  <si>
    <t>Interior Wall Footing 18/S1.2 4.5'
Length: 94'-0"
Width: 4'-6"
Depth: 1'-2"</t>
  </si>
  <si>
    <t>Interior Wall Footing 18/S1.2 2.5'
Length: 48'-0"
Width: 2'-6"
Depth: 1'-2"</t>
  </si>
  <si>
    <t>Wall Footing 7.25'x9.5'
Length: 9'-6"
Width: 7'-3"
Depth: 1'-2"</t>
  </si>
  <si>
    <t>#5 @ 12" O.C.Each Way Top and Bottom</t>
  </si>
  <si>
    <t>GRADE BEAM</t>
  </si>
  <si>
    <t>GB1
Length: 34'-0"
Width: 2'-0"
Depth: 1'-8"</t>
  </si>
  <si>
    <t>SD3</t>
  </si>
  <si>
    <t>Formwork (Grade Beam)</t>
  </si>
  <si>
    <t xml:space="preserve">4 #8 Cont Top and Bottom </t>
  </si>
  <si>
    <t>#4 @ 10" O.C. Ties</t>
  </si>
  <si>
    <t>S1.2</t>
  </si>
  <si>
    <t>#5 @ 16" O.C. Dowels</t>
  </si>
  <si>
    <t>ELEVATOR MAT</t>
  </si>
  <si>
    <t>9/S1.2</t>
  </si>
  <si>
    <t>Formwork (Mat Footing)</t>
  </si>
  <si>
    <t>#6 @ 12" O.C. Each Way Top and Bottom</t>
  </si>
  <si>
    <t>ELEVATOR TURN DOWN HAUNCH</t>
  </si>
  <si>
    <t>#5 @ 12" O.C. Each Face</t>
  </si>
  <si>
    <t>WALLS</t>
  </si>
  <si>
    <t>Wall 6/SD1
Length: 122'-0"
Thickness: 10"
Height: 12'-0"</t>
  </si>
  <si>
    <t>Shotcrete (3500 Psi)</t>
  </si>
  <si>
    <t>#4 @ 14" O.C.Horizontal Bars Each Face</t>
  </si>
  <si>
    <t>#5 @ 12" O.C.Vertical Bars</t>
  </si>
  <si>
    <t>#6 @ 12" O.C.Vertical Bars</t>
  </si>
  <si>
    <t>#5 @ 12" O.C.Dowels Each Face</t>
  </si>
  <si>
    <t>#5 @ 16" O.C.x 46" Dowels</t>
  </si>
  <si>
    <t>Waterproofing</t>
  </si>
  <si>
    <t>Perforated Drain Pipe</t>
  </si>
  <si>
    <t>12"x12" Gravel Pocket</t>
  </si>
  <si>
    <t>Wall 5/SD1
Length: 338'-0"
Thickness: 10"
Height: 12'-0"</t>
  </si>
  <si>
    <t>Wall 1/SD2
Length: 38'-0"
Thickness: 8"
Height: 12'</t>
  </si>
  <si>
    <t>Formwork (Walls)</t>
  </si>
  <si>
    <t>#4 @ 16" O.C.x 6' Dowels Each Face</t>
  </si>
  <si>
    <t>#4 @ 12" O.C.Each Way Each Face</t>
  </si>
  <si>
    <t>Wall 4/SD1
Length: 35'-0"
Thickness: 10"
Height: 12'-0"</t>
  </si>
  <si>
    <t>Wall 3/SD1
Length: 22'-0"
Thickness: 1'-0" &amp; 1'-2"
Height: 12'</t>
  </si>
  <si>
    <t>#6 @ 14" O.C.Vertical Bars</t>
  </si>
  <si>
    <t>#5 @ 14" O.C.Dowels Each Face</t>
  </si>
  <si>
    <t>#5 @ 12" O.C.x 36" Dowels</t>
  </si>
  <si>
    <t>Wall 2/SD1
Length: 84'-0"
Thickness: 1'-0"
Height: 12'-0"</t>
  </si>
  <si>
    <t>#4 @ 12" O.C.Horizontal Bars Each Face</t>
  </si>
  <si>
    <t>Wall 7/SD1
Length: 22'-0"
Thickness: 10"
Height: 12'-0"</t>
  </si>
  <si>
    <t>Wall 6A/SD1
Length: 91'-0"
Thickness: 10"
Height: 12'-0"</t>
  </si>
  <si>
    <t>Wall 1/SD1
Length: 68'-0"
Thickness: 10"
Height: 12'-0"</t>
  </si>
  <si>
    <t>1/SD1</t>
  </si>
  <si>
    <t>#4 @ 16" O.C.Horizontal Bars Each Face</t>
  </si>
  <si>
    <t>#5 @ 12" O.C.Vertical Bars Each Face</t>
  </si>
  <si>
    <t>#5 @ 10" O.C.Dowels Each Face</t>
  </si>
  <si>
    <t>#5 @ 16" O.C.x 36" Dowels Each Face</t>
  </si>
  <si>
    <t>#5 @ 16" O.C.x 6' Bars</t>
  </si>
  <si>
    <t>Wall CA
Length: 178'-0"
Thickness: 8"
Height: 12'-0"</t>
  </si>
  <si>
    <t>#4 @ 10" O.C.Horizontal Bars Each Face</t>
  </si>
  <si>
    <t>#5 @ 14" O.C.Vertical Bars Each Face</t>
  </si>
  <si>
    <t>2 #5 Vertical at Each end</t>
  </si>
  <si>
    <t>Wall CB
Length: 104'-0"
Thickness: 12"
Height: 12'-0"</t>
  </si>
  <si>
    <t>#5 @ 14" O.C.Horizontal Bars Each Face</t>
  </si>
  <si>
    <t>4 #6 Vertical at Each end</t>
  </si>
  <si>
    <t>#3 @ 4" O.C.Ties</t>
  </si>
  <si>
    <t>8" Thick Interior Walls
Length: 59'-0"
Thickness: 8"
Height: 12'-0"</t>
  </si>
  <si>
    <t>Dowels</t>
  </si>
  <si>
    <t>2/S1.3</t>
  </si>
  <si>
    <t>Vertical Dowels In Walls</t>
  </si>
  <si>
    <t>COLUMNS</t>
  </si>
  <si>
    <t>C1
Length: 3'-0"
Width: 1'-6"
Height: 12'-0"
Count: 02 EA</t>
  </si>
  <si>
    <t>Formwork (Columns)</t>
  </si>
  <si>
    <t>8 #9 Vertical Dowels</t>
  </si>
  <si>
    <t>#4 @ 6" O.C. Ties</t>
  </si>
  <si>
    <t>C2
Length: 2'-0"
Width: 1'-4"
Height: 12'-0"
Count: 26 EA</t>
  </si>
  <si>
    <t>6 #9 Vertical Dowels</t>
  </si>
  <si>
    <t>#4 @ 5" O.C.Ties</t>
  </si>
  <si>
    <t>C4
Diameter: 1'-0"
Height: 12'-0"
Count: 01 EA</t>
  </si>
  <si>
    <t>Formwork (Columns-Circular)</t>
  </si>
  <si>
    <t>4 #8 Vertical Dowels</t>
  </si>
  <si>
    <t>#3 @ 5" O.C.Ties</t>
  </si>
  <si>
    <t>SLAB ON GRADE</t>
  </si>
  <si>
    <t>4" Thick Slab on Grade (2500 Psi)</t>
  </si>
  <si>
    <t>#4 @ 16" O.C. Each Way</t>
  </si>
  <si>
    <t>4" Edge Form</t>
  </si>
  <si>
    <t>Control Joint</t>
  </si>
  <si>
    <t>Expansion Joint</t>
  </si>
  <si>
    <t>15 Mil Vapor Barrier</t>
  </si>
  <si>
    <t>4" Aggregate Base</t>
  </si>
  <si>
    <t xml:space="preserve">Thickened Edge </t>
  </si>
  <si>
    <t>Concrete (2500 Psi)</t>
  </si>
  <si>
    <t>Column Isolation Joints</t>
  </si>
  <si>
    <t>#4 U-Bent Bars</t>
  </si>
  <si>
    <t>#5 U-Bent Bars</t>
  </si>
  <si>
    <t>TRENCH DRAIN</t>
  </si>
  <si>
    <t>14/S1.2</t>
  </si>
  <si>
    <t>Formwork (Trench Drain)</t>
  </si>
  <si>
    <t>#4 @ 16" O.C. Dowels</t>
  </si>
  <si>
    <t>DEPRESSION IN SLAB</t>
  </si>
  <si>
    <t>9/SD1</t>
  </si>
  <si>
    <t>Formwork (Depression)</t>
  </si>
  <si>
    <t>#4 Cont</t>
  </si>
  <si>
    <t>STRUCTURAL SLAB - 1ST FLOOR</t>
  </si>
  <si>
    <t>10" THICK STRUCTURAL SLAB</t>
  </si>
  <si>
    <t>S3.1</t>
  </si>
  <si>
    <t>10" Thick Slab (4000 Psi)</t>
  </si>
  <si>
    <t>10" Edge Form</t>
  </si>
  <si>
    <t>Underslab Formwork/Shoring</t>
  </si>
  <si>
    <t>#6 @ 18" O.C. Each Way Top and Bottom</t>
  </si>
  <si>
    <t>10" THICK RAMP SLAB</t>
  </si>
  <si>
    <t>#6 @ 16" O.C.Bottom. #5 @ 16" O.C. Each Way Top</t>
  </si>
  <si>
    <t>18" THICK SLAB</t>
  </si>
  <si>
    <t>18" Thick Slab (4000 Psi)</t>
  </si>
  <si>
    <t>18" Edge Form</t>
  </si>
  <si>
    <t>12" THICK SLAB</t>
  </si>
  <si>
    <t>12" Thick Slab (4000 Psi)</t>
  </si>
  <si>
    <t>12" Edge Form</t>
  </si>
  <si>
    <t>17/S1.4</t>
  </si>
  <si>
    <t>#3 @ 18" O.C. Ties</t>
  </si>
  <si>
    <t>ADDITIONAL REBAR 1ST FLOOR</t>
  </si>
  <si>
    <t>S3.1-2</t>
  </si>
  <si>
    <t xml:space="preserve">Additional Rebar
- Refer to "ADDITIONAL REBAR" Tab For Detailed Takeoff </t>
  </si>
  <si>
    <t>S1.3</t>
  </si>
  <si>
    <t>2 #6 Cont</t>
  </si>
  <si>
    <t>#3 @ 9" O.C. Ties</t>
  </si>
  <si>
    <t>S1.4</t>
  </si>
  <si>
    <t>CMU Dowels</t>
  </si>
  <si>
    <t>DROP PANELS</t>
  </si>
  <si>
    <t>6/S1.2</t>
  </si>
  <si>
    <t>Formwork (Drop Panels)</t>
  </si>
  <si>
    <t>#5 @ 10" O.C. Each Way</t>
  </si>
  <si>
    <t>BEAMS</t>
  </si>
  <si>
    <t>CB7
Length: 15'-0"
Width: 10"
Depth: 12"</t>
  </si>
  <si>
    <t>Formwork (Beams)</t>
  </si>
  <si>
    <t>6 #6 Cont</t>
  </si>
  <si>
    <t>#3 @ 5" O.C.Stirrups</t>
  </si>
  <si>
    <t>CB8 
Length: 31'-0"
Width: 3'-0"
Depth: 2'-6"</t>
  </si>
  <si>
    <t>4 #8 Cont, 4 #8 x 24'</t>
  </si>
  <si>
    <t>7 #9 Cont</t>
  </si>
  <si>
    <t>#4 @ 6",12" Stirrups</t>
  </si>
  <si>
    <t>CB9
Length: 5'-0"
Width: 8"
Depth: 3'-6"</t>
  </si>
  <si>
    <t>4 #9 Cont</t>
  </si>
  <si>
    <t>#4 @ 4" O.C.Ties</t>
  </si>
  <si>
    <t>CURB</t>
  </si>
  <si>
    <t>Formwork (Curb)</t>
  </si>
  <si>
    <t>DEPRESSION IN STRUCTURAL SLAB</t>
  </si>
  <si>
    <t>Depression In Structural Slab</t>
  </si>
  <si>
    <t>Wall CA
Length: 165'-0"
Thickness: 8"
Height: 10'-0"</t>
  </si>
  <si>
    <t>2 #5 Vertical at Each End</t>
  </si>
  <si>
    <t>#5 @ 12" O.C. Dowels Each Face</t>
  </si>
  <si>
    <t>#5 @ 16" O.C. x  46" Dowels</t>
  </si>
  <si>
    <t>Wall CB
Length: 322'-0"
Thickness: 12"
Height: 10'-0"</t>
  </si>
  <si>
    <t>4 #6 Vertical at Each End</t>
  </si>
  <si>
    <t>#5 @ 16" O.C. x 46" Dowels</t>
  </si>
  <si>
    <t>#3 @ 4" O.C. Ties</t>
  </si>
  <si>
    <t>Wall CD
Length: 43'-0"
Thickness: 12"
Height: 10'-0"</t>
  </si>
  <si>
    <t>#6 @ 11" O.C.Each Way Each Face</t>
  </si>
  <si>
    <t>6 #6 Vertical at Each End</t>
  </si>
  <si>
    <t>#5 @ 16" O.C .x  46" Dowels</t>
  </si>
  <si>
    <t>#4 @ 4" O.C. Ties</t>
  </si>
  <si>
    <t>C1
Length: 3'-0"
Width: 1'-6"
Height: 10'-0"
Count: 01 EA</t>
  </si>
  <si>
    <t>C2
Length: 2'-0"
Width: 1'-4"
Height: 10'-0"
Count: 07 EA</t>
  </si>
  <si>
    <t>#4 @ 5" O.C. Ties</t>
  </si>
  <si>
    <t>C3
Length: 3'-6"
Width: 0'-10"
Height: 10'-0"
Count: 04 EA</t>
  </si>
  <si>
    <t>8 #7 Vertical Dowels</t>
  </si>
  <si>
    <t>#3 @ 5" O.C. Ties</t>
  </si>
  <si>
    <t>C4
Diameter:1'
Height:10'
Count:1 EA</t>
  </si>
  <si>
    <t>C7
Length: 3'-0"
Width: 0'-8"
Height: 10'-0"
Count: 02 EA</t>
  </si>
  <si>
    <t>8 #6 Vertical Dowels</t>
  </si>
  <si>
    <t>C8
Length: 1'-0"
Width: 1'-0"
Height: 10'-0"
Count: 02 EA</t>
  </si>
  <si>
    <t>#3 @ 6" O.C. Ties</t>
  </si>
  <si>
    <t>C9
Length: 1'-0"
Width: 0'-10"
Height: 10'-0"
Count: 04 EA</t>
  </si>
  <si>
    <t>4 #7 Vertical Dowels</t>
  </si>
  <si>
    <t>STRUCTURAL SLAB - 2ND FLOOR</t>
  </si>
  <si>
    <t>S4.1</t>
  </si>
  <si>
    <t>#6 @ 18" O.C.Each Way Top and Bottom</t>
  </si>
  <si>
    <t>#3 @ 18" O.C.Ties</t>
  </si>
  <si>
    <t>ADDITIONAL REBAR 2ND FLOOR</t>
  </si>
  <si>
    <t>S4.1-2</t>
  </si>
  <si>
    <t>#3 @ 9" O.C.Ties</t>
  </si>
  <si>
    <t>CB1
Length: 45'-0'
Width: 10"
Depth: 2'-0"</t>
  </si>
  <si>
    <t>2 #8 Cont</t>
  </si>
  <si>
    <t>#4 @ 4",8" O.C.Stirrups</t>
  </si>
  <si>
    <t>CB2 
Length: 14'-0"
Width: 1'-0"
Depth: 2'-0"</t>
  </si>
  <si>
    <t>2 #7 Cont</t>
  </si>
  <si>
    <t>CB3 
Length: 22'-0"
Width: 1'-0"
Depth: 1'-8"</t>
  </si>
  <si>
    <t>2 #8 Cont Top and Bottom</t>
  </si>
  <si>
    <t>CB4
Length: 11'-0"
Width: 1'-0"
Depth: 1'-8"</t>
  </si>
  <si>
    <t>2 #7 Cont, 2 #8 Cont</t>
  </si>
  <si>
    <t>CB5 
Length: 27'-0"
Width: 1'-0"
Depth: 2'-6"</t>
  </si>
  <si>
    <t>3 #9 Cont</t>
  </si>
  <si>
    <t>2 #8 x 24</t>
  </si>
  <si>
    <t>CB6
Length: 22'-0"
Width: 1'-0"
Depth: 2'-6"</t>
  </si>
  <si>
    <t>CB7
Length: 11'-0"
Width: 10"
Depth: 12"</t>
  </si>
  <si>
    <t>#3 @ 5" O.C. Stirrups</t>
  </si>
  <si>
    <t>Beam 10x48
Length: 12'-0"
Width: 10"
Depth: 4'-0"</t>
  </si>
  <si>
    <t>CONCRETE TOPPING AT PLANTER AREAS</t>
  </si>
  <si>
    <t>S4.3</t>
  </si>
  <si>
    <t>6/L4.20</t>
  </si>
  <si>
    <r>
      <t xml:space="preserve">Concrete (4000 Psi) Topping at Planter Areas 
</t>
    </r>
    <r>
      <rPr>
        <b/>
        <sz val="12"/>
        <rFont val="Calibri"/>
        <family val="2"/>
        <scheme val="minor"/>
      </rPr>
      <t>- Assumed Thickness: 3"</t>
    </r>
  </si>
  <si>
    <t>CONCRETE STAIRS</t>
  </si>
  <si>
    <t>S2-4.1</t>
  </si>
  <si>
    <t>SD2</t>
  </si>
  <si>
    <t>#4 @ 8" O.C.Bars</t>
  </si>
  <si>
    <t>#5 @ 16" O.C.Bars</t>
  </si>
  <si>
    <t>Formwork (Stairs)</t>
  </si>
  <si>
    <t>Extra Labor For Stairs</t>
  </si>
  <si>
    <t>Drilled Dowels</t>
  </si>
  <si>
    <t>STAIR LANDING</t>
  </si>
  <si>
    <t>8" Thick Concrete (4000 Psi) Landing</t>
  </si>
  <si>
    <t>8" Edge Form</t>
  </si>
  <si>
    <t>#5 @ 12" O.C.</t>
  </si>
  <si>
    <t>#5 @ 8" O.C.</t>
  </si>
  <si>
    <t>3 #5 Cont. Bar</t>
  </si>
  <si>
    <t>3 #6 Cont Bar</t>
  </si>
  <si>
    <t xml:space="preserve"> Concrete Sub Total</t>
  </si>
  <si>
    <t>Exclusions</t>
  </si>
  <si>
    <r>
      <rPr>
        <b/>
        <sz val="12"/>
        <rFont val="Calibri"/>
        <family val="2"/>
        <scheme val="minor"/>
      </rPr>
      <t>Roof/Ceiling Assembly - 2 As;</t>
    </r>
    <r>
      <rPr>
        <sz val="12"/>
        <rFont val="Calibri"/>
        <family val="2"/>
        <scheme val="minor"/>
      </rPr>
      <t xml:space="preserve">
- (1) Layer of 5/8" Type"X" Gypsum Board Ceiling
- 1/2" Resilient Channels
- 8" Thk R-19 Batt Insulation</t>
    </r>
  </si>
  <si>
    <r>
      <t xml:space="preserve">Dryer
</t>
    </r>
    <r>
      <rPr>
        <b/>
        <sz val="12"/>
        <rFont val="Calibri"/>
        <family val="2"/>
        <scheme val="minor"/>
      </rPr>
      <t>Assumed Supplier &amp; Specification:</t>
    </r>
    <r>
      <rPr>
        <sz val="12"/>
        <rFont val="Calibri"/>
        <family val="2"/>
        <scheme val="minor"/>
      </rPr>
      <t xml:space="preserve">
ELECTROLUX EFMG617STT 
27” 8CF Steam 9 Cycles, Moisture 
Sensor, Painted Grey Drum</t>
    </r>
  </si>
  <si>
    <r>
      <t xml:space="preserve">Washer
</t>
    </r>
    <r>
      <rPr>
        <b/>
        <sz val="12"/>
        <rFont val="Calibri"/>
        <family val="2"/>
        <scheme val="minor"/>
      </rPr>
      <t>Assumed Supplier &amp; Specification:</t>
    </r>
    <r>
      <rPr>
        <sz val="12"/>
        <rFont val="Calibri"/>
        <family val="2"/>
        <scheme val="minor"/>
      </rPr>
      <t xml:space="preserve">
ELECTROLUX EFLS617STT 
27” 4.4CF Energy Star STEAM 9 Cycles‐ 
LuxCare Wash w/Smartboost‐SS 
Tub‐ Stain Soak </t>
    </r>
  </si>
  <si>
    <r>
      <t xml:space="preserve">Dishwasher
</t>
    </r>
    <r>
      <rPr>
        <b/>
        <sz val="12"/>
        <rFont val="Calibri"/>
        <family val="2"/>
        <scheme val="minor"/>
      </rPr>
      <t>Assumed Supplier &amp; Specification:</t>
    </r>
    <r>
      <rPr>
        <sz val="12"/>
        <rFont val="Calibri"/>
        <family val="2"/>
        <scheme val="minor"/>
      </rPr>
      <t xml:space="preserve">
MIELE Panel Ready 
Futura Diamond Series Dishwasher 
G6985SCVIK2O-MD </t>
    </r>
  </si>
  <si>
    <r>
      <t xml:space="preserve">Cooking Range
</t>
    </r>
    <r>
      <rPr>
        <b/>
        <sz val="12"/>
        <rFont val="Calibri"/>
        <family val="2"/>
        <scheme val="minor"/>
      </rPr>
      <t>Assumed</t>
    </r>
    <r>
      <rPr>
        <sz val="12"/>
        <rFont val="Calibri"/>
        <family val="2"/>
        <scheme val="minor"/>
      </rPr>
      <t xml:space="preserve"> </t>
    </r>
    <r>
      <rPr>
        <b/>
        <sz val="12"/>
        <rFont val="Calibri"/>
        <family val="2"/>
        <scheme val="minor"/>
      </rPr>
      <t>Supplier &amp; Specification:</t>
    </r>
    <r>
      <rPr>
        <sz val="12"/>
        <rFont val="Calibri"/>
        <family val="2"/>
        <scheme val="minor"/>
      </rPr>
      <t xml:space="preserve">
MIELE 
KMR1355 
48 Inch Pro-Style Gas Rangetop</t>
    </r>
  </si>
  <si>
    <r>
      <t xml:space="preserve">Hood
</t>
    </r>
    <r>
      <rPr>
        <b/>
        <sz val="12"/>
        <rFont val="Calibri"/>
        <family val="2"/>
        <scheme val="minor"/>
      </rPr>
      <t>Assumed</t>
    </r>
    <r>
      <rPr>
        <sz val="12"/>
        <rFont val="Calibri"/>
        <family val="2"/>
        <scheme val="minor"/>
      </rPr>
      <t xml:space="preserve"> </t>
    </r>
    <r>
      <rPr>
        <b/>
        <sz val="12"/>
        <rFont val="Calibri"/>
        <family val="2"/>
        <scheme val="minor"/>
      </rPr>
      <t>Supplier &amp; Specification:</t>
    </r>
    <r>
      <rPr>
        <sz val="12"/>
        <rFont val="Calibri"/>
        <family val="2"/>
        <scheme val="minor"/>
      </rPr>
      <t xml:space="preserve">
MODERN‐AIRE PSL‐346‐SS 
46‐3/8”W HOOD LINER W/ 1200CFM 
(3HALOGEN LIGHTS) </t>
    </r>
  </si>
  <si>
    <r>
      <t xml:space="preserve">Refrigerator
</t>
    </r>
    <r>
      <rPr>
        <b/>
        <sz val="12"/>
        <rFont val="Calibri"/>
        <family val="2"/>
        <scheme val="minor"/>
      </rPr>
      <t>Assumed</t>
    </r>
    <r>
      <rPr>
        <sz val="12"/>
        <rFont val="Calibri"/>
        <family val="2"/>
        <scheme val="minor"/>
      </rPr>
      <t xml:space="preserve"> </t>
    </r>
    <r>
      <rPr>
        <b/>
        <sz val="12"/>
        <rFont val="Calibri"/>
        <family val="2"/>
        <scheme val="minor"/>
      </rPr>
      <t>Supplier &amp; Specification:</t>
    </r>
    <r>
      <rPr>
        <sz val="12"/>
        <rFont val="Calibri"/>
        <family val="2"/>
        <scheme val="minor"/>
      </rPr>
      <t xml:space="preserve">
MIELE 
K1903VI 36” ALL REFRIGERATOR, 
RIGHT HINGED, FULLY INTEGRATED </t>
    </r>
  </si>
  <si>
    <r>
      <t xml:space="preserve">Microwave Oven
</t>
    </r>
    <r>
      <rPr>
        <b/>
        <sz val="12"/>
        <rFont val="Calibri"/>
        <family val="2"/>
        <scheme val="minor"/>
      </rPr>
      <t>Assumed</t>
    </r>
    <r>
      <rPr>
        <sz val="12"/>
        <rFont val="Calibri"/>
        <family val="2"/>
        <scheme val="minor"/>
      </rPr>
      <t xml:space="preserve"> </t>
    </r>
    <r>
      <rPr>
        <b/>
        <sz val="12"/>
        <rFont val="Calibri"/>
        <family val="2"/>
        <scheme val="minor"/>
      </rPr>
      <t>Supplier &amp; Specification:</t>
    </r>
    <r>
      <rPr>
        <sz val="12"/>
        <rFont val="Calibri"/>
        <family val="2"/>
        <scheme val="minor"/>
      </rPr>
      <t xml:space="preserve">
MIELE DG 6500 Built-in steam oven </t>
    </r>
  </si>
  <si>
    <r>
      <t>Trash Bin</t>
    </r>
    <r>
      <rPr>
        <b/>
        <sz val="12"/>
        <rFont val="Calibri"/>
        <family val="2"/>
        <scheme val="minor"/>
      </rPr>
      <t/>
    </r>
  </si>
  <si>
    <t>Specs Assumed</t>
  </si>
  <si>
    <t xml:space="preserve">Ladders </t>
  </si>
  <si>
    <t xml:space="preserve">Railings </t>
  </si>
  <si>
    <t xml:space="preserve">Lumber </t>
  </si>
  <si>
    <t xml:space="preserve">Trusses </t>
  </si>
  <si>
    <t xml:space="preserve">Doors &amp; Windows Trim </t>
  </si>
  <si>
    <t xml:space="preserve">TPO Roofing </t>
  </si>
  <si>
    <t xml:space="preserve">Roof Metal Panel System </t>
  </si>
  <si>
    <t xml:space="preserve">Roof Accessories </t>
  </si>
  <si>
    <t xml:space="preserve">Metal Panel System </t>
  </si>
  <si>
    <t xml:space="preserve">Expansion Joints </t>
  </si>
  <si>
    <t xml:space="preserve">Doors, Frames &amp; Hardware </t>
  </si>
  <si>
    <t xml:space="preserve">Windows </t>
  </si>
  <si>
    <t xml:space="preserve">Storefront </t>
  </si>
  <si>
    <t xml:space="preserve">Drywall Assemblies </t>
  </si>
  <si>
    <t xml:space="preserve">GWB Ceiling </t>
  </si>
  <si>
    <t xml:space="preserve">Dropped GWB Ceiling </t>
  </si>
  <si>
    <t xml:space="preserve">Vinyl Flooring </t>
  </si>
  <si>
    <t xml:space="preserve">Sealed Concrete </t>
  </si>
  <si>
    <t xml:space="preserve">Wall Base </t>
  </si>
  <si>
    <t xml:space="preserve">Floor Underlayment </t>
  </si>
  <si>
    <t xml:space="preserve">Deckcoating </t>
  </si>
  <si>
    <t xml:space="preserve">Exterior Finishes </t>
  </si>
  <si>
    <t xml:space="preserve">Mail Boxes </t>
  </si>
  <si>
    <t xml:space="preserve">FECs </t>
  </si>
  <si>
    <t xml:space="preserve">Interior Signages </t>
  </si>
  <si>
    <t xml:space="preserve">Exterior Signages </t>
  </si>
  <si>
    <t xml:space="preserve">Trash Bins </t>
  </si>
  <si>
    <t xml:space="preserve">Appliances </t>
  </si>
  <si>
    <t xml:space="preserve">Elevator </t>
  </si>
  <si>
    <t xml:space="preserve">Steel Framing </t>
  </si>
  <si>
    <t>Steel Framing Sub Total</t>
  </si>
  <si>
    <t>Concrete</t>
  </si>
  <si>
    <t>Plumbing</t>
  </si>
  <si>
    <t>Mechanical</t>
  </si>
  <si>
    <t>Electrical</t>
  </si>
  <si>
    <t>EXCLUSIONS</t>
  </si>
  <si>
    <t>Loose Furntiure</t>
  </si>
  <si>
    <r>
      <rPr>
        <b/>
        <sz val="12"/>
        <rFont val="Calibri"/>
        <family val="2"/>
        <scheme val="minor"/>
      </rPr>
      <t>Floor/Ceiling Assembly - 1 As;</t>
    </r>
    <r>
      <rPr>
        <sz val="12"/>
        <rFont val="Calibri"/>
        <family val="2"/>
        <scheme val="minor"/>
      </rPr>
      <t xml:space="preserve">
- (1) Layers of 5/8" Type"X" Gypsum Board Ceiling
- 1/2" Resilient Channels
- 12" Thk R-19 Batt Insulation</t>
    </r>
  </si>
  <si>
    <r>
      <rPr>
        <b/>
        <sz val="12"/>
        <rFont val="Calibri"/>
        <family val="2"/>
        <scheme val="minor"/>
      </rPr>
      <t>Floor/Ceiling Assembly - 3 As;</t>
    </r>
    <r>
      <rPr>
        <sz val="12"/>
        <rFont val="Calibri"/>
        <family val="2"/>
        <scheme val="minor"/>
      </rPr>
      <t xml:space="preserve">
- 7/8" Exterior Cement Plaster O/
- Lath O/ 
- (2) Layers Building Papers</t>
    </r>
  </si>
  <si>
    <r>
      <rPr>
        <b/>
        <sz val="12"/>
        <rFont val="Calibri"/>
        <family val="2"/>
        <scheme val="minor"/>
      </rPr>
      <t>Floor/Ceiling Assembly - 3 As;</t>
    </r>
    <r>
      <rPr>
        <sz val="12"/>
        <rFont val="Calibri"/>
        <family val="2"/>
        <scheme val="minor"/>
      </rPr>
      <t xml:space="preserve">
- (1) Layer of 5/8" Type"X" Exterior Gypsum Board Ceiling</t>
    </r>
  </si>
  <si>
    <t>SITE WORKS</t>
  </si>
  <si>
    <t>31 00 0</t>
  </si>
  <si>
    <t>EARTHWORKS</t>
  </si>
  <si>
    <t>GRADING</t>
  </si>
  <si>
    <t>CLEAR AND GRUB</t>
  </si>
  <si>
    <r>
      <t xml:space="preserve">Clear and Grubbing 
</t>
    </r>
    <r>
      <rPr>
        <b/>
        <sz val="12"/>
        <rFont val="Calibri"/>
        <family val="2"/>
        <scheme val="minor"/>
      </rPr>
      <t>-0.85 Acres</t>
    </r>
  </si>
  <si>
    <t>TOPSOIL STRIPPING</t>
  </si>
  <si>
    <t>C-3</t>
  </si>
  <si>
    <r>
      <t xml:space="preserve">3" Topsoil Stripping </t>
    </r>
    <r>
      <rPr>
        <b/>
        <sz val="12"/>
        <rFont val="Calibri"/>
        <family val="2"/>
        <scheme val="minor"/>
      </rPr>
      <t>(Assumed)</t>
    </r>
  </si>
  <si>
    <t>SHORING</t>
  </si>
  <si>
    <t>SH-2</t>
  </si>
  <si>
    <t>SH-3</t>
  </si>
  <si>
    <r>
      <t xml:space="preserve">Drill &amp; Excavate 24" Shafts
</t>
    </r>
    <r>
      <rPr>
        <b/>
        <sz val="12"/>
        <rFont val="Calibri"/>
        <family val="2"/>
        <scheme val="minor"/>
      </rPr>
      <t>Depth: 32'-0"
Counts: 90 EA</t>
    </r>
  </si>
  <si>
    <r>
      <t xml:space="preserve">W16x57 Soldier Beam
</t>
    </r>
    <r>
      <rPr>
        <b/>
        <sz val="12"/>
        <rFont val="Calibri"/>
        <family val="2"/>
        <scheme val="minor"/>
      </rPr>
      <t>Depth: 32'-0"
Counts: 90 EA</t>
    </r>
  </si>
  <si>
    <t>Concrete (3000 Psi)</t>
  </si>
  <si>
    <t>3 x Treated Lagging</t>
  </si>
  <si>
    <t>4 x Treated Lagging</t>
  </si>
  <si>
    <t>Torching Holes In Soldier Beams For Wall Rebars Installation</t>
  </si>
  <si>
    <t>LOC</t>
  </si>
  <si>
    <t>MASS GRADING</t>
  </si>
  <si>
    <t>Mass Excavation For Building Footprint</t>
  </si>
  <si>
    <t>C-5</t>
  </si>
  <si>
    <t>Cut To Achieve Required Grade</t>
  </si>
  <si>
    <t>Fill To Achieve Required Grade</t>
  </si>
  <si>
    <t>HAUL AWAY DIRT</t>
  </si>
  <si>
    <t xml:space="preserve">Haul Away of Extra Dirt
- 10 CY Truck </t>
  </si>
  <si>
    <t>TRUCKS</t>
  </si>
  <si>
    <t>Note: No Geotechnical report was available for this project.</t>
  </si>
  <si>
    <t>EROSION &amp; SEDIMENT CONTROL FOR ROUGH GRADING</t>
  </si>
  <si>
    <t>SILT FENCE</t>
  </si>
  <si>
    <t>C-12</t>
  </si>
  <si>
    <t>Silt Fence</t>
  </si>
  <si>
    <t>GRAVEL BAGS</t>
  </si>
  <si>
    <t xml:space="preserve">Gravel Bags </t>
  </si>
  <si>
    <t>DEWATERING DEVICE</t>
  </si>
  <si>
    <t>Dewatering Device</t>
  </si>
  <si>
    <t>TRASH CONTAINER</t>
  </si>
  <si>
    <t>Trash Container</t>
  </si>
  <si>
    <t>ENCLOSED CONTAINER</t>
  </si>
  <si>
    <t>Enclosed Container</t>
  </si>
  <si>
    <t>CONSTRUCTION ENTRANCE</t>
  </si>
  <si>
    <t>Construction Entrance</t>
  </si>
  <si>
    <t>EROSION &amp; SEDIMENT CONTROL FOR PRECISE GRADING</t>
  </si>
  <si>
    <t>C-13</t>
  </si>
  <si>
    <t xml:space="preserve">Silt Fence </t>
  </si>
  <si>
    <t>Gravel Bags</t>
  </si>
  <si>
    <t>Construction Entrance CASQA TC-1</t>
  </si>
  <si>
    <t>INLET PROTECTION</t>
  </si>
  <si>
    <t>Storm Drain Inlet Protection</t>
  </si>
  <si>
    <t>Note: It shows that we are modifying the E&amp;SC items for precise grading so we are assuming that items from the rough grading phase will stay and we will price only the items which are increased or modified for precise grading phase, Please confirm.</t>
  </si>
  <si>
    <t>Earthwork Sub Total</t>
  </si>
  <si>
    <t>32 00 0</t>
  </si>
  <si>
    <t>EXTERIOR IMPROVEMENTS</t>
  </si>
  <si>
    <t>SITE DEMOLITIONS</t>
  </si>
  <si>
    <t>C2</t>
  </si>
  <si>
    <t>Removal Of Trees</t>
  </si>
  <si>
    <t>Remove Ex CMU Block Wall</t>
  </si>
  <si>
    <t>Removal Of Chainlink Fence</t>
  </si>
  <si>
    <t>Removal Of Light Pole And Base</t>
  </si>
  <si>
    <t>Cap Ex. Sewer Lateral</t>
  </si>
  <si>
    <t>Removal Of Conc. Driveway And Walkways</t>
  </si>
  <si>
    <t>Removal Of Wood Fence</t>
  </si>
  <si>
    <t>Cap Gas Service And Remove Gas Meter</t>
  </si>
  <si>
    <t>Remove Ex Cmu Block Wall</t>
  </si>
  <si>
    <t>Removal Of Stairs</t>
  </si>
  <si>
    <t>Cap Ex. Water</t>
  </si>
  <si>
    <t>Demolition Of Single Story Structure And Foundation</t>
  </si>
  <si>
    <t>Remove Ex. Landscape Elements(Shrubs,Trees,And Planters)</t>
  </si>
  <si>
    <t>Remove Ex. Water Line And Ex. Water Meter</t>
  </si>
  <si>
    <t>Sheet-01</t>
  </si>
  <si>
    <t>Remove Ex. Firehydrant</t>
  </si>
  <si>
    <t>Remove Ex. Water Meter</t>
  </si>
  <si>
    <t>Sheet-02</t>
  </si>
  <si>
    <t>Remove Ex. 8" Vcp Sewer</t>
  </si>
  <si>
    <t>Sheet-03</t>
  </si>
  <si>
    <t>Remove Landscape Elements</t>
  </si>
  <si>
    <t>Remove Ex. Intersection</t>
  </si>
  <si>
    <t>Remove Ex. Asphalt Concrete Pavement</t>
  </si>
  <si>
    <t>Remove Ex. Curb And Gutter</t>
  </si>
  <si>
    <t>Remove Ex. Concrete Driveway And Sidewalk</t>
  </si>
  <si>
    <t>Remove Gutter</t>
  </si>
  <si>
    <t>Haul Away of Demolished Items</t>
  </si>
  <si>
    <t>PROTECTIONS</t>
  </si>
  <si>
    <t>Allowance For Protection of Following Items</t>
  </si>
  <si>
    <t>Protect Ex. Sign</t>
  </si>
  <si>
    <t>Sheet-04</t>
  </si>
  <si>
    <t>Protect Ex. Utility Pole</t>
  </si>
  <si>
    <t>Protect Ex. Water Meter</t>
  </si>
  <si>
    <t>ABANDON EXISTING UTILITIES</t>
  </si>
  <si>
    <t>Cut &amp; Abandon 6" CIP Water Main</t>
  </si>
  <si>
    <t>Cut &amp; Abandon 4" CIP Water Main</t>
  </si>
  <si>
    <t>REMOVE AND REPLACE OF PAVEMENT FOR UTILTIES</t>
  </si>
  <si>
    <t xml:space="preserve">Sawcut Pavements </t>
  </si>
  <si>
    <t>Sawcut Pavement, Remove And Replace For Utilities</t>
  </si>
  <si>
    <t>Grind and Overlay Asphalt Pavement
- Thickness: 2"</t>
  </si>
  <si>
    <t>Site Demolitions Sub Total</t>
  </si>
  <si>
    <t xml:space="preserve">ASPHALT PAVEMENT </t>
  </si>
  <si>
    <t>Sheet-3</t>
  </si>
  <si>
    <t>5" Asphaltic Concrete Pavement</t>
  </si>
  <si>
    <t>9" Aggregate Base</t>
  </si>
  <si>
    <t>Compacted Subgrade</t>
  </si>
  <si>
    <t>Asphalt Pavement Sub Total</t>
  </si>
  <si>
    <t>CONCRETE PAVEMENT</t>
  </si>
  <si>
    <t>L1.01</t>
  </si>
  <si>
    <t>6" Thick PCC Pavement</t>
  </si>
  <si>
    <t xml:space="preserve">#3 Bars @ 18" OC </t>
  </si>
  <si>
    <t>Sawcut Control Joint</t>
  </si>
  <si>
    <t>6" Edge Form</t>
  </si>
  <si>
    <t>Note: we have assumed details for concrete pavement.</t>
  </si>
  <si>
    <t>Concrete Pavement Sub Total</t>
  </si>
  <si>
    <t>CONCRETE PAVERS</t>
  </si>
  <si>
    <t>L0.01</t>
  </si>
  <si>
    <t>Natural Grey Concrete Pavers</t>
  </si>
  <si>
    <t>4" Thick PCC Concrete (4000 Psi)</t>
  </si>
  <si>
    <t xml:space="preserve">Note: We have assumed details for concrete paver base. </t>
  </si>
  <si>
    <t>Concrete Pavers Sub Total</t>
  </si>
  <si>
    <t>CONCRETE SIDEWALK</t>
  </si>
  <si>
    <t>A/C6</t>
  </si>
  <si>
    <t>4" Thick PCC Concrete (4000 Psi) Sidewalk</t>
  </si>
  <si>
    <t>Concrete Sidewalk Sub Total</t>
  </si>
  <si>
    <t>CURBS &amp; GUTTERS</t>
  </si>
  <si>
    <t xml:space="preserve"> A1-6</t>
  </si>
  <si>
    <t>6" Concrete Curb 6" Below Grade 
-Top width 6" 
-Bottom Width 9"</t>
  </si>
  <si>
    <t>A3-6</t>
  </si>
  <si>
    <t>6" Concrete Curb &amp; 24" Gutter Repair</t>
  </si>
  <si>
    <t>8" Concrete Curb &amp; 24" Gutter Repair</t>
  </si>
  <si>
    <t>Sheet-2</t>
  </si>
  <si>
    <t>Construct Longitudinal Gutter 36'' wide</t>
  </si>
  <si>
    <t>Curbs and Gutter Sub Total</t>
  </si>
  <si>
    <t>TRANSFORMER PAD</t>
  </si>
  <si>
    <t>4" Thick Concrete Pad (4000 Psi)</t>
  </si>
  <si>
    <t xml:space="preserve">Note: We have assumed details for transformer pad. </t>
  </si>
  <si>
    <t>Transformer Pad Sub Total</t>
  </si>
  <si>
    <t>PAVING</t>
  </si>
  <si>
    <t>L1.00-01</t>
  </si>
  <si>
    <t>8/L1.21</t>
  </si>
  <si>
    <r>
      <t xml:space="preserve">P-101 - Natural Grey Concrete
</t>
    </r>
    <r>
      <rPr>
        <b/>
        <sz val="12"/>
        <rFont val="Calibri"/>
        <family val="2"/>
        <scheme val="minor"/>
      </rPr>
      <t>- Color: Natural Grey</t>
    </r>
  </si>
  <si>
    <t>2/L1.20</t>
  </si>
  <si>
    <r>
      <t xml:space="preserve">P-102 - Stabilized Decomposed Granite
</t>
    </r>
    <r>
      <rPr>
        <b/>
        <sz val="12"/>
        <rFont val="Calibri"/>
        <family val="2"/>
        <scheme val="minor"/>
      </rPr>
      <t>- Color: Desert Gold</t>
    </r>
    <r>
      <rPr>
        <sz val="12"/>
        <rFont val="Calibri"/>
        <family val="2"/>
        <scheme val="minor"/>
      </rPr>
      <t xml:space="preserve">
</t>
    </r>
    <r>
      <rPr>
        <b/>
        <sz val="12"/>
        <rFont val="Calibri"/>
        <family val="2"/>
        <scheme val="minor"/>
      </rPr>
      <t>- Manufacturer: Southwest Boulder (760)342-5522</t>
    </r>
  </si>
  <si>
    <t>Rigid Insulation</t>
  </si>
  <si>
    <t>1/L1.20</t>
  </si>
  <si>
    <r>
      <t xml:space="preserve">P-103A - Durasafe Premium95 Resilient Tile - A 
</t>
    </r>
    <r>
      <rPr>
        <b/>
        <sz val="12"/>
        <rFont val="Calibri"/>
        <family val="2"/>
        <scheme val="minor"/>
      </rPr>
      <t>- 3.25" Thickness
- Color: Denim
- Manufacturer: Sofsurfaces (519) 882 8799</t>
    </r>
  </si>
  <si>
    <r>
      <t xml:space="preserve">P-103B - Durasafe Premium95 Resilient Tile - B
</t>
    </r>
    <r>
      <rPr>
        <b/>
        <sz val="12"/>
        <rFont val="Calibri"/>
        <family val="2"/>
        <scheme val="minor"/>
      </rPr>
      <t>- 3.25" Thickness
- Color: Sedona
- Manufacturer: Sofsurfaces (519) 882 8799</t>
    </r>
  </si>
  <si>
    <r>
      <t xml:space="preserve">P-103C - Durasafe Premium95 Resilient Tile - C
</t>
    </r>
    <r>
      <rPr>
        <b/>
        <sz val="12"/>
        <rFont val="Calibri"/>
        <family val="2"/>
        <scheme val="minor"/>
      </rPr>
      <t>- 3.25" Thickness
- Color: Sangria
- Manufacturer: Sofsurfaces (519) 882 8799</t>
    </r>
  </si>
  <si>
    <r>
      <t xml:space="preserve">P-103D - Durasafe Premium95 Resilient Tile - D
</t>
    </r>
    <r>
      <rPr>
        <b/>
        <sz val="12"/>
        <rFont val="Calibri"/>
        <family val="2"/>
        <scheme val="minor"/>
      </rPr>
      <t>- 3.25" Thickness
- Color: Azure
- Manufacturer: Sofsurfaces (519) 882 8799</t>
    </r>
  </si>
  <si>
    <t>L1.02-03</t>
  </si>
  <si>
    <t>SCH-L0.01</t>
  </si>
  <si>
    <t>Note: All these pavings are on depressed slab</t>
  </si>
  <si>
    <t>Paving Sub Total</t>
  </si>
  <si>
    <t>WALLS AND CURBS</t>
  </si>
  <si>
    <t>WALL TYPE W-101 (42"H)
Color: NM189
Manufacture: Nitterhouse</t>
  </si>
  <si>
    <t>W-2</t>
  </si>
  <si>
    <t>3/L1.20</t>
  </si>
  <si>
    <t>Split Face CMU Planter Wall</t>
  </si>
  <si>
    <t>CMU Wall Cap</t>
  </si>
  <si>
    <t>5A/SD-1</t>
  </si>
  <si>
    <t xml:space="preserve">1 #4 Bar Continuous </t>
  </si>
  <si>
    <t>#4 Horizontal Bars @ 24" O.C.</t>
  </si>
  <si>
    <t>#4 Vertical Bars @ 16" O.C. Hooked into Slab</t>
  </si>
  <si>
    <t>WALL TYPE W-102 (24"H)
Color: NM189
Manufacture: Nitterhouse</t>
  </si>
  <si>
    <t>WALL TYPE W-103 (18"H)
Color: NM189
Manufacture: Nitterhouse</t>
  </si>
  <si>
    <t>6/L1.21</t>
  </si>
  <si>
    <r>
      <rPr>
        <b/>
        <sz val="12"/>
        <rFont val="Calibri"/>
        <family val="2"/>
        <scheme val="minor"/>
      </rPr>
      <t>Cast In Place Concret Curb C-101</t>
    </r>
    <r>
      <rPr>
        <sz val="12"/>
        <rFont val="Calibri"/>
        <family val="2"/>
        <scheme val="minor"/>
      </rPr>
      <t xml:space="preserve">
- Bottom Width 9-1/2" and Top Width 6" and 6" Above Grade
- 1-1/2" w. Formed Skate Deterrent, 36" OC and 18" from Edges
- 1-1/2" Radius on top edge both side</t>
    </r>
  </si>
  <si>
    <t xml:space="preserve">2 #4 Bar Continuous </t>
  </si>
  <si>
    <t>Walls and Curbs Sub Total</t>
  </si>
  <si>
    <t>SITE AMENITIES</t>
  </si>
  <si>
    <t>BENCHES</t>
  </si>
  <si>
    <t>L1.01-03</t>
  </si>
  <si>
    <t>4/L1.20</t>
  </si>
  <si>
    <r>
      <rPr>
        <b/>
        <u/>
        <sz val="12"/>
        <rFont val="Calibri"/>
        <family val="2"/>
        <scheme val="minor"/>
      </rPr>
      <t>M-101 - Built-In Cantilevered Bench</t>
    </r>
    <r>
      <rPr>
        <sz val="12"/>
        <rFont val="Calibri"/>
        <family val="2"/>
        <scheme val="minor"/>
      </rPr>
      <t xml:space="preserve">
-1/4'' Thk. X 2" W. Stl. St. Plate
-3/8" Dia. Stl. St. Anchor, Simpson Strong Bolt 2, 1-1/4" Min. From Head Joint, (2) Top @ 4" O.C. &amp; (1 ) Bottom Each Outrigger, W/ Min. 3" Effective Embed</t>
    </r>
  </si>
  <si>
    <t>5/L1.20</t>
  </si>
  <si>
    <r>
      <rPr>
        <b/>
        <u/>
        <sz val="12"/>
        <rFont val="Calibri"/>
        <family val="2"/>
        <scheme val="minor"/>
      </rPr>
      <t>M-102 - Free Standing Wood Top Bench</t>
    </r>
    <r>
      <rPr>
        <sz val="12"/>
        <rFont val="Calibri"/>
        <family val="2"/>
        <scheme val="minor"/>
      </rPr>
      <t xml:space="preserve">
-3/8" Dia. Hilti Kb-Tz Anchors @ 30" Max. O.C. W/ Min. 3" Effective Embed.
-3/8'' Thk. X 3'' W. Stl. St. Plate</t>
    </r>
  </si>
  <si>
    <t>(2) #4 Vertical @ Center Of Each 5"
W. Conc. Wall</t>
  </si>
  <si>
    <t>PLANTER BOXES</t>
  </si>
  <si>
    <t>SCH/L0.01</t>
  </si>
  <si>
    <t>M-104 - Natural Cedar Planter Box
- 26"(W) X 60"(L) X 28"(H) Provide Ada Accessible Unit
- Manufacturer: Eartheasy (888) 451-6752</t>
  </si>
  <si>
    <t>GARDEN BED</t>
  </si>
  <si>
    <t>8/L1.20</t>
  </si>
  <si>
    <r>
      <rPr>
        <b/>
        <u/>
        <sz val="12"/>
        <rFont val="Calibri"/>
        <family val="2"/>
        <scheme val="minor"/>
      </rPr>
      <t>M-105 - Natural Cedar Raised Garden Bed</t>
    </r>
    <r>
      <rPr>
        <sz val="12"/>
        <rFont val="Calibri"/>
        <family val="2"/>
        <scheme val="minor"/>
      </rPr>
      <t xml:space="preserve">
-24"(W) X 60"(L) X 33"(H) W/ Trim Pack Provide Ada Accessible Unit
-Manufacturer: Eartheasy (888) 451-6752</t>
    </r>
  </si>
  <si>
    <t xml:space="preserve">Planting Soil </t>
  </si>
  <si>
    <t>4" Thick Aggregate Wrapped in Fabric</t>
  </si>
  <si>
    <t>DECORATIVE ROCKS</t>
  </si>
  <si>
    <t>6/L1.20</t>
  </si>
  <si>
    <t>M-106 - 2' HT LARGE HOP ROCK 
-Color: Limestone
-Epoxy Play to Structure Below
-Hand Tight All Side
-Manufacturer: UPC PARKS EILEEN MCKENZIE (530) 243-1096</t>
  </si>
  <si>
    <t>M-107 - 1'-1"' HT LARGE HOP ROCK 
-Color: Limestone
-Epoxy Play to Structure Below
-Hand Tight All Side
-Manufacturer: UPC PARKS EILEEN MCKENZIE (530) 243-1096</t>
  </si>
  <si>
    <t>POOL TABLES</t>
  </si>
  <si>
    <t>M-108 - OUTDOOR BUMPER POOL TABLE
-Color: Black
-Manufacturer: DIAG. 7' OUTDOOR POOL TABLE</t>
  </si>
  <si>
    <t>M-109 - 8' x 8' GIANT CHESS MAT
-Color: STANDARD
-Manufacturer: CHESSHOUSE (800)-348-4749</t>
  </si>
  <si>
    <t>PERGOLA</t>
  </si>
  <si>
    <t>7/L1.21</t>
  </si>
  <si>
    <t>M-110 - Pergola
-Color: Powder Coat, To Be Selected
-4"X4" Extruded Aluminum Post Columns.
-2"X6" Extruded Aluminum Beam
-2" Min. Sq. Extruded Aluminum Pickets
-Anchor To Roof, Fabricator To Provide Base Plate.
-Ipe Paver At Post, 1/4" Max. Gap At Post
-Gfci Electrical Outlet Integrated Into Posts
-Structure, See Architecture Dwgs.
-Ipe Pavers On Pedestal System, See Schedule
-Manufacturer: Universal Awning (818) 882-0027</t>
  </si>
  <si>
    <t>BIKE RACKS</t>
  </si>
  <si>
    <t>S-101- Cycloops Circulo Bike Rack
-Color:  Regal Blue
-Manufacturer: Columbia Cascade (800) 547-1940</t>
  </si>
  <si>
    <t>FIBERLGASS PLANTER POTS</t>
  </si>
  <si>
    <t>2/L1.21</t>
  </si>
  <si>
    <t>S-103-Fiberglass Planter Pot 28" X 36"Ht
-Color: Toast
-Old Town Fiberglass (714) 633-3732</t>
  </si>
  <si>
    <t>S-113-Fiberglass Planter Pot Custom 96" X 36" X 48"Ht
-#RL963648, Gc To Request Customization Of Pot'S Height To Match Parapet Height. V.I.F. 45'' Height</t>
  </si>
  <si>
    <t>S-109-Fiberglass Planter Pot 72" X 36" X 36"Ht
-Color: Broze
-Old Town Fiberglass (714) 633-3732</t>
  </si>
  <si>
    <t>S-107 - Fiberglass Planter Pot 60" X 60" X 48"Ht
-Color: Broze
-Old Town Fiberglass (714) 633-3732</t>
  </si>
  <si>
    <t>S-108 - Fiberglass Planter Pot 60" X 24" X 36"Ht
-Color: Broze
-Old Town Fiberglass (714) 633-3732</t>
  </si>
  <si>
    <t>TRASH RECEPTACLE</t>
  </si>
  <si>
    <t>S-114 - Trash Receptacle
-Color: Regal Blue
-Manufacturer: Columbia Cascade (800) 547-1940</t>
  </si>
  <si>
    <t>STRING LIGHTS</t>
  </si>
  <si>
    <t>4/L1.21</t>
  </si>
  <si>
    <t>String Light</t>
  </si>
  <si>
    <t>String Light Posts - 10' H
-2" Dia Hot Dip Galvanized and Painted Tube
-1 1/2" Dia Eye Bolt Welded and Galvanized</t>
  </si>
  <si>
    <t>Site Amenities Sub Total</t>
  </si>
  <si>
    <t>RETAINING WALLS</t>
  </si>
  <si>
    <t>FOOTINGS</t>
  </si>
  <si>
    <t>Wall Footing
Length: 276'-8"
Width: 0'-8"
Depth: 1'-10"</t>
  </si>
  <si>
    <t>B/W-3</t>
  </si>
  <si>
    <t xml:space="preserve">(2) #4 Cont. Bars </t>
  </si>
  <si>
    <t>Formwork Continous Footing</t>
  </si>
  <si>
    <t>#4 Bar in Footing Step
Count Step: 02 EA</t>
  </si>
  <si>
    <t>WALL</t>
  </si>
  <si>
    <t xml:space="preserve">6' High Proto II Block Wall
Length: 270'-8"
Width: 0'-6"
Height: 6'-0" </t>
  </si>
  <si>
    <t xml:space="preserve">Proto II Blocks CMU Wall
-OPT cap Block Top </t>
  </si>
  <si>
    <t xml:space="preserve">#4 Horizontal Joint Bar @ 24" OC and 2 at Top </t>
  </si>
  <si>
    <t>Post Tensioning Rod @ 6'-0" OC
-Length: 6'-2" hooked into Footing
-Bolts and Plate
-After tensioning mortar at the bottom and top section of wall</t>
  </si>
  <si>
    <t xml:space="preserve">4' High Proto II Block Wall
Length: 6'-0"
Width: 0'-6"
Height: 4'-0" </t>
  </si>
  <si>
    <t>Post Tensioning Rod @ 6'-0" OC
-Length: 4'-2" hooked into Footing
-Bolts and Plate
-After tensioning mortar at the bottom and top section of wall</t>
  </si>
  <si>
    <t xml:space="preserve">6' Split Face CMU Wall (6")
Length: 97'-0"
Width: 0'-6"
Height: 6'-0" </t>
  </si>
  <si>
    <t>Concrete (4000 Psi) -Extended Slab</t>
  </si>
  <si>
    <t>6" Wide Split Face CMU Wall</t>
  </si>
  <si>
    <t>#4 Vertical Bars @ 16" O.C. Hooked into Footing</t>
  </si>
  <si>
    <t>Retaining Walls Sub Total</t>
  </si>
  <si>
    <t>STORM DRAIN SYSTEM</t>
  </si>
  <si>
    <t>HDPE PIPES</t>
  </si>
  <si>
    <t>C-7</t>
  </si>
  <si>
    <t>C-8</t>
  </si>
  <si>
    <t>10" ADS HDPE Pipe</t>
  </si>
  <si>
    <t>Gravel Bedding</t>
  </si>
  <si>
    <t>Haunch</t>
  </si>
  <si>
    <t>8" ADS HDPE Pipe</t>
  </si>
  <si>
    <t>6" ADS HDPE Pipe</t>
  </si>
  <si>
    <t>DUCTILE IRON PIPE</t>
  </si>
  <si>
    <t>12" Ductile Iron Pipe</t>
  </si>
  <si>
    <t>NDS ATRIUM GRATES AND DRAINS</t>
  </si>
  <si>
    <t>NDS 9"x9" Grate and Drain
-9" Polyolefin Square Atrium Grate
-NDS Low Profile Adaptor
-6" Universal Locking Outlet and Riser</t>
  </si>
  <si>
    <t>NDS 9" Square Brass Grate and Drain
-9" NDS Square Brass Grate
-NDS Low Profile Adaptor
-6" Universal Locking Outlet and Riser</t>
  </si>
  <si>
    <t>DRYWELL</t>
  </si>
  <si>
    <t>Maxwell IV Drywell IV-4-CS-CA
-Base Seal Concrete Slurry
-Drainage Pipe 
-Flofast Drainage Screen</t>
  </si>
  <si>
    <t>Stabilized Backfill</t>
  </si>
  <si>
    <t xml:space="preserve">Crushed Rock </t>
  </si>
  <si>
    <t>Non-Geotextile Sleeve- 140 Mirafi</t>
  </si>
  <si>
    <t>DIVERTER BOX</t>
  </si>
  <si>
    <t>3'x3' Precast Conc. Diverter Box with Grate 
-Rem's Triton CFS Filter
-Depth 102"</t>
  </si>
  <si>
    <t>PARKWAY DRAIN</t>
  </si>
  <si>
    <t>Parkway Drain SPPWC 151-2 S=24"
-#3 @ 12 " Longitudinal Bars
-#3 @ 7" Main Bars
-Concrete Base and Edges 6" and Top Width B=4" Min
-Angles and Galvanized Steel Angles</t>
  </si>
  <si>
    <t>MISC. ITEMS</t>
  </si>
  <si>
    <t>Ductile Iron fitting</t>
  </si>
  <si>
    <t>CSF Filter</t>
  </si>
  <si>
    <t>'NO Dumping" Stencil</t>
  </si>
  <si>
    <t>Storm Connection To Existing W/
- Tapping Valve and Sleeve</t>
  </si>
  <si>
    <t xml:space="preserve">Trench Drain Per Plumbing </t>
  </si>
  <si>
    <t>A1.01</t>
  </si>
  <si>
    <t xml:space="preserve">Foundation Drain </t>
  </si>
  <si>
    <t>Storm System Sub Total</t>
  </si>
  <si>
    <t>SANITARY UTILTIIES</t>
  </si>
  <si>
    <t>6" Sewer House Lateral per SPPWC 222-2 (D=7')</t>
  </si>
  <si>
    <t>Shoring (Both Side)</t>
  </si>
  <si>
    <t>Prop. 12" VCP Sewer (D=11')</t>
  </si>
  <si>
    <t>Note: we have assumed trench details for sanitary  utilities.</t>
  </si>
  <si>
    <t>6" WYE Saddle LACDPW 2025-2</t>
  </si>
  <si>
    <t>Terminal Cleanouts SPPWC 204-2</t>
  </si>
  <si>
    <t>Sanitary Service Connection To Existing W/
- Tapping Valves and Sleeves</t>
  </si>
  <si>
    <t>Sanitary System Sub Total</t>
  </si>
  <si>
    <t>WATER UTILITIES</t>
  </si>
  <si>
    <t>Proposed 4" Water Service</t>
  </si>
  <si>
    <t>Proposed 1" Water Service</t>
  </si>
  <si>
    <t>Proposed 12" DIP Water Pipe</t>
  </si>
  <si>
    <t>Proposed 6" DIP Fire Service</t>
  </si>
  <si>
    <t>C-9</t>
  </si>
  <si>
    <t>Proposed 6" Class 200 AWWA C900 PVC Domestic Water Service</t>
  </si>
  <si>
    <t>Proposed 6" Class 200 AWWA C900 PVC Fire Water Service</t>
  </si>
  <si>
    <t>Note: we have assumed trench details for water utilities.</t>
  </si>
  <si>
    <t>Install 6" Fire Hydrant</t>
  </si>
  <si>
    <t>1-1/2" Backflow Preventor</t>
  </si>
  <si>
    <t>Elbows and Tees Connections</t>
  </si>
  <si>
    <t>4" Domestic Water Meter</t>
  </si>
  <si>
    <t>8" CIP Conn. to 8" DIP</t>
  </si>
  <si>
    <t>12" DIP Conn. to 8" DIP</t>
  </si>
  <si>
    <t>6" Fire Water Service Assembly</t>
  </si>
  <si>
    <t>Water Service Connection To Existing W/
- Tapping Valves and Sleeves</t>
  </si>
  <si>
    <t>Fire Department Connection To Existing W/
- Tapping Valves and Sleeves</t>
  </si>
  <si>
    <t>6" Reduced Pressure Black Flow preventer A-C10</t>
  </si>
  <si>
    <t>6" Double Check Detector Assembly</t>
  </si>
  <si>
    <t>Thrust Block</t>
  </si>
  <si>
    <t>Water System Sub Total</t>
  </si>
  <si>
    <t>GAS UTILITIES</t>
  </si>
  <si>
    <t>C-9-P-1</t>
  </si>
  <si>
    <t>3" Yellow PE Gas Line</t>
  </si>
  <si>
    <t>Concrete Encasement</t>
  </si>
  <si>
    <t>Note: we have assumed trench details for gas utilities.</t>
  </si>
  <si>
    <t>Gas Meter and Regulator Assembly</t>
  </si>
  <si>
    <t>Gas Connection to Existing Main W/
- Tapping Valves and Sleeves</t>
  </si>
  <si>
    <t>Emergency Gas Siesmic Main Shut Off Valve</t>
  </si>
  <si>
    <t>UPC Gas Main Shut Off Valve</t>
  </si>
  <si>
    <t>Gas System Sub Total</t>
  </si>
  <si>
    <t>ELECTRICAL UTILITIES</t>
  </si>
  <si>
    <t>E1.0</t>
  </si>
  <si>
    <t>2-2" Conduit</t>
  </si>
  <si>
    <t>Sand Bedding</t>
  </si>
  <si>
    <t>5-5" Conduit</t>
  </si>
  <si>
    <t>6-4" Conduit</t>
  </si>
  <si>
    <t>Note: we have assumed trench details for electrical utilties utilities.</t>
  </si>
  <si>
    <t>2,000 Amps Main Switchgear @ 120/208V, 3Ø, 4W.</t>
  </si>
  <si>
    <t>2-2" Conduit Stub</t>
  </si>
  <si>
    <t>Pull Box</t>
  </si>
  <si>
    <t>New Surface Mounted Panelboard</t>
  </si>
  <si>
    <t>Outdoor Weatherproof Nema 3R Pull Section</t>
  </si>
  <si>
    <t>Electrical System Sub Total</t>
  </si>
  <si>
    <t>FENCE ON PLANTER WALLS</t>
  </si>
  <si>
    <t>L1.03</t>
  </si>
  <si>
    <t>15/A9.11</t>
  </si>
  <si>
    <r>
      <rPr>
        <b/>
        <u/>
        <sz val="12"/>
        <rFont val="Calibri"/>
        <family val="2"/>
        <scheme val="minor"/>
      </rPr>
      <t>Fence on Planter Wall</t>
    </r>
    <r>
      <rPr>
        <sz val="12"/>
        <rFont val="Calibri"/>
        <family val="2"/>
        <scheme val="minor"/>
      </rPr>
      <t xml:space="preserve">
-Height 3'-0" with 12" Embedment into Plater wall
-(2) HSS 2"x2"x 3/16" Along the length
-HSS 2"x2"x 3/16" 3' Long @ 4' OC along the length
-1"x1" Steel Picket @ 4" OC Max.</t>
    </r>
  </si>
  <si>
    <t>8/A9.10</t>
  </si>
  <si>
    <r>
      <rPr>
        <b/>
        <u/>
        <sz val="12"/>
        <rFont val="Calibri"/>
        <family val="2"/>
        <scheme val="minor"/>
      </rPr>
      <t>Access Metal Gate</t>
    </r>
    <r>
      <rPr>
        <sz val="12"/>
        <rFont val="Calibri"/>
        <family val="2"/>
        <scheme val="minor"/>
      </rPr>
      <t xml:space="preserve">
-Signage On  12"X12"X1/4" Galv. Stl.  Backing Plate -Weld  To Stl. Pickets
-Knox Box (4400  Series), Welded  To Galv. Stl.  Backing Plate -Weld To Stl.  Pickets
-3"X3"X3/16" Galv. Stl. Tube Post Vertical Posts 3
-2"X2"X1/8" Thk. Horiz. Top &amp; Bot. Galv. Stl. Rails, Weld Pickets To Rail
-Embeded Steel Base Plates 
-3/4"X3/4"X1/8" Galv. Stl. Tube Pickets, Typ.</t>
    </r>
  </si>
  <si>
    <t>Concrete (4000 Psi)
-for 3 post per each Gate</t>
  </si>
  <si>
    <t>2-3/4"Ø 8-Inches Long Nelson Studs</t>
  </si>
  <si>
    <t>Formwork Circular</t>
  </si>
  <si>
    <t>Fence On Planter Walls Sub Total</t>
  </si>
  <si>
    <t>LANDSCAPING</t>
  </si>
  <si>
    <t>LANDSCAPE HYDROZONE</t>
  </si>
  <si>
    <t xml:space="preserve">Planter - 12" </t>
  </si>
  <si>
    <t>L2.01</t>
  </si>
  <si>
    <t>Planting Soil</t>
  </si>
  <si>
    <t xml:space="preserve">Planter - 18" </t>
  </si>
  <si>
    <t>L2.02</t>
  </si>
  <si>
    <t>4" Thick 3/8" Drainage Rock</t>
  </si>
  <si>
    <t>Drainage Mat with Integreted Filter Fabric</t>
  </si>
  <si>
    <t>Water Proofing</t>
  </si>
  <si>
    <t>Planter Drain 4" Perforated</t>
  </si>
  <si>
    <t xml:space="preserve">Planter - 26" </t>
  </si>
  <si>
    <t>L2.01-02</t>
  </si>
  <si>
    <t xml:space="preserve">Planter - 36" </t>
  </si>
  <si>
    <t>L2.02-03</t>
  </si>
  <si>
    <t xml:space="preserve">Planter - 42" </t>
  </si>
  <si>
    <t xml:space="preserve">Planter - 48" </t>
  </si>
  <si>
    <t>TREES</t>
  </si>
  <si>
    <t>L4.00</t>
  </si>
  <si>
    <t>SCH-L4.00</t>
  </si>
  <si>
    <r>
      <rPr>
        <b/>
        <sz val="12"/>
        <rFont val="Calibri"/>
        <family val="2"/>
        <scheme val="minor"/>
      </rPr>
      <t>Botanical Name:</t>
    </r>
    <r>
      <rPr>
        <sz val="12"/>
        <rFont val="Calibri"/>
        <family val="2"/>
        <scheme val="minor"/>
      </rPr>
      <t xml:space="preserve"> Cercis canadensis
</t>
    </r>
    <r>
      <rPr>
        <b/>
        <sz val="12"/>
        <rFont val="Calibri"/>
        <family val="2"/>
        <scheme val="minor"/>
      </rPr>
      <t xml:space="preserve">Common Name: </t>
    </r>
    <r>
      <rPr>
        <sz val="12"/>
        <rFont val="Calibri"/>
        <family val="2"/>
        <scheme val="minor"/>
      </rPr>
      <t>Eastern Redbud</t>
    </r>
  </si>
  <si>
    <r>
      <rPr>
        <b/>
        <sz val="12"/>
        <rFont val="Calibri"/>
        <family val="2"/>
        <scheme val="minor"/>
      </rPr>
      <t>Botanical Name:</t>
    </r>
    <r>
      <rPr>
        <sz val="12"/>
        <rFont val="Calibri"/>
        <family val="2"/>
        <scheme val="minor"/>
      </rPr>
      <t xml:space="preserve"> Chilopsis linearis
</t>
    </r>
    <r>
      <rPr>
        <b/>
        <sz val="12"/>
        <rFont val="Calibri"/>
        <family val="2"/>
        <scheme val="minor"/>
      </rPr>
      <t xml:space="preserve">Common Name: </t>
    </r>
    <r>
      <rPr>
        <sz val="12"/>
        <rFont val="Calibri"/>
        <family val="2"/>
        <scheme val="minor"/>
      </rPr>
      <t>Desert Willow</t>
    </r>
  </si>
  <si>
    <r>
      <rPr>
        <b/>
        <sz val="12"/>
        <rFont val="Calibri"/>
        <family val="2"/>
        <scheme val="minor"/>
      </rPr>
      <t>Botanical Name:</t>
    </r>
    <r>
      <rPr>
        <sz val="12"/>
        <rFont val="Calibri"/>
        <family val="2"/>
        <scheme val="minor"/>
      </rPr>
      <t xml:space="preserve"> Koelreuteria Paniculata
</t>
    </r>
    <r>
      <rPr>
        <b/>
        <sz val="12"/>
        <rFont val="Calibri"/>
        <family val="2"/>
        <scheme val="minor"/>
      </rPr>
      <t xml:space="preserve">Common Name: </t>
    </r>
    <r>
      <rPr>
        <sz val="12"/>
        <rFont val="Calibri"/>
        <family val="2"/>
        <scheme val="minor"/>
      </rPr>
      <t>Improved Meyer Lemon Tree</t>
    </r>
  </si>
  <si>
    <r>
      <rPr>
        <b/>
        <sz val="12"/>
        <rFont val="Calibri"/>
        <family val="2"/>
        <scheme val="minor"/>
      </rPr>
      <t>Botanical Name:</t>
    </r>
    <r>
      <rPr>
        <sz val="12"/>
        <rFont val="Calibri"/>
        <family val="2"/>
        <scheme val="minor"/>
      </rPr>
      <t xml:space="preserve"> Citrus reticulata 'Owari'
</t>
    </r>
    <r>
      <rPr>
        <b/>
        <sz val="12"/>
        <rFont val="Calibri"/>
        <family val="2"/>
        <scheme val="minor"/>
      </rPr>
      <t xml:space="preserve">Common Name: </t>
    </r>
    <r>
      <rPr>
        <sz val="12"/>
        <rFont val="Calibri"/>
        <family val="2"/>
        <scheme val="minor"/>
      </rPr>
      <t>Owari Satsuma Mandarin Tree</t>
    </r>
  </si>
  <si>
    <r>
      <rPr>
        <b/>
        <sz val="12"/>
        <rFont val="Calibri"/>
        <family val="2"/>
        <scheme val="minor"/>
      </rPr>
      <t>Botanical Name:</t>
    </r>
    <r>
      <rPr>
        <sz val="12"/>
        <rFont val="Calibri"/>
        <family val="2"/>
        <scheme val="minor"/>
      </rPr>
      <t xml:space="preserve"> Citrus x sinensis
</t>
    </r>
    <r>
      <rPr>
        <b/>
        <sz val="12"/>
        <rFont val="Calibri"/>
        <family val="2"/>
        <scheme val="minor"/>
      </rPr>
      <t xml:space="preserve">Common Name: </t>
    </r>
    <r>
      <rPr>
        <sz val="12"/>
        <rFont val="Calibri"/>
        <family val="2"/>
        <scheme val="minor"/>
      </rPr>
      <t>Orange Tree</t>
    </r>
  </si>
  <si>
    <r>
      <rPr>
        <b/>
        <sz val="12"/>
        <rFont val="Calibri"/>
        <family val="2"/>
        <scheme val="minor"/>
      </rPr>
      <t>Botanical Name:</t>
    </r>
    <r>
      <rPr>
        <sz val="12"/>
        <rFont val="Calibri"/>
        <family val="2"/>
        <scheme val="minor"/>
      </rPr>
      <t xml:space="preserve"> Platanus x acerfolia 'Bloodgood'
</t>
    </r>
    <r>
      <rPr>
        <b/>
        <sz val="12"/>
        <rFont val="Calibri"/>
        <family val="2"/>
        <scheme val="minor"/>
      </rPr>
      <t xml:space="preserve">Common Name: </t>
    </r>
    <r>
      <rPr>
        <sz val="12"/>
        <rFont val="Calibri"/>
        <family val="2"/>
        <scheme val="minor"/>
      </rPr>
      <t>Bloodgood London Plane Tree</t>
    </r>
  </si>
  <si>
    <r>
      <rPr>
        <b/>
        <sz val="12"/>
        <rFont val="Calibri"/>
        <family val="2"/>
        <scheme val="minor"/>
      </rPr>
      <t>Botanical Name:</t>
    </r>
    <r>
      <rPr>
        <sz val="12"/>
        <rFont val="Calibri"/>
        <family val="2"/>
        <scheme val="minor"/>
      </rPr>
      <t xml:space="preserve"> Searsia lancea
</t>
    </r>
    <r>
      <rPr>
        <b/>
        <sz val="12"/>
        <rFont val="Calibri"/>
        <family val="2"/>
        <scheme val="minor"/>
      </rPr>
      <t xml:space="preserve">Common Name: </t>
    </r>
    <r>
      <rPr>
        <sz val="12"/>
        <rFont val="Calibri"/>
        <family val="2"/>
        <scheme val="minor"/>
      </rPr>
      <t>African Sumac</t>
    </r>
  </si>
  <si>
    <t>Existing Trees to be Protected in Place</t>
  </si>
  <si>
    <t>SHRUBS</t>
  </si>
  <si>
    <r>
      <rPr>
        <b/>
        <sz val="12"/>
        <rFont val="Calibri"/>
        <family val="2"/>
        <scheme val="minor"/>
      </rPr>
      <t xml:space="preserve">Botanical Name: </t>
    </r>
    <r>
      <rPr>
        <sz val="12"/>
        <rFont val="Calibri"/>
        <family val="2"/>
        <scheme val="minor"/>
      </rPr>
      <t xml:space="preserve">Callistemon citrinus 'Little John'
</t>
    </r>
    <r>
      <rPr>
        <b/>
        <sz val="12"/>
        <rFont val="Calibri"/>
        <family val="2"/>
        <scheme val="minor"/>
      </rPr>
      <t xml:space="preserve">Common Name: </t>
    </r>
    <r>
      <rPr>
        <sz val="12"/>
        <rFont val="Calibri"/>
        <family val="2"/>
        <scheme val="minor"/>
      </rPr>
      <t>Little John Dwarf Bottlebrush</t>
    </r>
  </si>
  <si>
    <r>
      <rPr>
        <b/>
        <sz val="12"/>
        <rFont val="Calibri"/>
        <family val="2"/>
        <scheme val="minor"/>
      </rPr>
      <t xml:space="preserve">Botanical Name: </t>
    </r>
    <r>
      <rPr>
        <sz val="12"/>
        <rFont val="Calibri"/>
        <family val="2"/>
        <scheme val="minor"/>
      </rPr>
      <t xml:space="preserve">Leucadendron 'Jester'
</t>
    </r>
    <r>
      <rPr>
        <b/>
        <sz val="12"/>
        <rFont val="Calibri"/>
        <family val="2"/>
        <scheme val="minor"/>
      </rPr>
      <t xml:space="preserve">Common Name: </t>
    </r>
    <r>
      <rPr>
        <sz val="12"/>
        <rFont val="Calibri"/>
        <family val="2"/>
        <scheme val="minor"/>
      </rPr>
      <t>Sunshine Conebush</t>
    </r>
  </si>
  <si>
    <r>
      <rPr>
        <b/>
        <sz val="12"/>
        <rFont val="Calibri"/>
        <family val="2"/>
        <scheme val="minor"/>
      </rPr>
      <t xml:space="preserve">Botanical Name: </t>
    </r>
    <r>
      <rPr>
        <sz val="12"/>
        <rFont val="Calibri"/>
        <family val="2"/>
        <scheme val="minor"/>
      </rPr>
      <t xml:space="preserve">Limonium perezii
</t>
    </r>
    <r>
      <rPr>
        <b/>
        <sz val="12"/>
        <rFont val="Calibri"/>
        <family val="2"/>
        <scheme val="minor"/>
      </rPr>
      <t xml:space="preserve">Common Name: </t>
    </r>
    <r>
      <rPr>
        <sz val="12"/>
        <rFont val="Calibri"/>
        <family val="2"/>
        <scheme val="minor"/>
      </rPr>
      <t>Sea Lavender</t>
    </r>
  </si>
  <si>
    <r>
      <rPr>
        <b/>
        <sz val="12"/>
        <rFont val="Calibri"/>
        <family val="2"/>
        <scheme val="minor"/>
      </rPr>
      <t xml:space="preserve">Botanical Name: </t>
    </r>
    <r>
      <rPr>
        <sz val="12"/>
        <rFont val="Calibri"/>
        <family val="2"/>
        <scheme val="minor"/>
      </rPr>
      <t xml:space="preserve">Myrtus communis compacta
</t>
    </r>
    <r>
      <rPr>
        <b/>
        <sz val="12"/>
        <rFont val="Calibri"/>
        <family val="2"/>
        <scheme val="minor"/>
      </rPr>
      <t xml:space="preserve">Common Name: </t>
    </r>
    <r>
      <rPr>
        <sz val="12"/>
        <rFont val="Calibri"/>
        <family val="2"/>
        <scheme val="minor"/>
      </rPr>
      <t>Dwarf Myrtle</t>
    </r>
  </si>
  <si>
    <r>
      <rPr>
        <b/>
        <sz val="12"/>
        <rFont val="Calibri"/>
        <family val="2"/>
        <scheme val="minor"/>
      </rPr>
      <t xml:space="preserve">Botanical Name: </t>
    </r>
    <r>
      <rPr>
        <sz val="12"/>
        <rFont val="Calibri"/>
        <family val="2"/>
        <scheme val="minor"/>
      </rPr>
      <t xml:space="preserve">Olea europaea 'Little Ollie'
</t>
    </r>
    <r>
      <rPr>
        <b/>
        <sz val="12"/>
        <rFont val="Calibri"/>
        <family val="2"/>
        <scheme val="minor"/>
      </rPr>
      <t xml:space="preserve">Common Name: </t>
    </r>
    <r>
      <rPr>
        <sz val="12"/>
        <rFont val="Calibri"/>
        <family val="2"/>
        <scheme val="minor"/>
      </rPr>
      <t>Little Ollie</t>
    </r>
  </si>
  <si>
    <r>
      <rPr>
        <b/>
        <sz val="12"/>
        <rFont val="Calibri"/>
        <family val="2"/>
        <scheme val="minor"/>
      </rPr>
      <t xml:space="preserve">Botanical Name: </t>
    </r>
    <r>
      <rPr>
        <sz val="12"/>
        <rFont val="Calibri"/>
        <family val="2"/>
        <scheme val="minor"/>
      </rPr>
      <t xml:space="preserve">Perovskia atriplicifolia
</t>
    </r>
    <r>
      <rPr>
        <b/>
        <sz val="12"/>
        <rFont val="Calibri"/>
        <family val="2"/>
        <scheme val="minor"/>
      </rPr>
      <t xml:space="preserve">Common Name: </t>
    </r>
    <r>
      <rPr>
        <sz val="12"/>
        <rFont val="Calibri"/>
        <family val="2"/>
        <scheme val="minor"/>
      </rPr>
      <t>Russian Sage</t>
    </r>
  </si>
  <si>
    <r>
      <rPr>
        <b/>
        <sz val="12"/>
        <rFont val="Calibri"/>
        <family val="2"/>
        <scheme val="minor"/>
      </rPr>
      <t xml:space="preserve">Botanical Name: </t>
    </r>
    <r>
      <rPr>
        <sz val="12"/>
        <rFont val="Calibri"/>
        <family val="2"/>
        <scheme val="minor"/>
      </rPr>
      <t xml:space="preserve">Phormium tenax
</t>
    </r>
    <r>
      <rPr>
        <b/>
        <sz val="12"/>
        <rFont val="Calibri"/>
        <family val="2"/>
        <scheme val="minor"/>
      </rPr>
      <t xml:space="preserve">Common Name: </t>
    </r>
    <r>
      <rPr>
        <sz val="12"/>
        <rFont val="Calibri"/>
        <family val="2"/>
        <scheme val="minor"/>
      </rPr>
      <t>New Zealand Flax</t>
    </r>
  </si>
  <si>
    <r>
      <rPr>
        <b/>
        <sz val="12"/>
        <rFont val="Calibri"/>
        <family val="2"/>
        <scheme val="minor"/>
      </rPr>
      <t xml:space="preserve">Botanical Name: </t>
    </r>
    <r>
      <rPr>
        <sz val="12"/>
        <rFont val="Calibri"/>
        <family val="2"/>
        <scheme val="minor"/>
      </rPr>
      <t xml:space="preserve">Phormium tenax, 'Jack Spratt'
</t>
    </r>
    <r>
      <rPr>
        <b/>
        <sz val="12"/>
        <rFont val="Calibri"/>
        <family val="2"/>
        <scheme val="minor"/>
      </rPr>
      <t xml:space="preserve">Common Name: </t>
    </r>
    <r>
      <rPr>
        <sz val="12"/>
        <rFont val="Calibri"/>
        <family val="2"/>
        <scheme val="minor"/>
      </rPr>
      <t>Jack Spratt New Zealand Flax</t>
    </r>
  </si>
  <si>
    <r>
      <rPr>
        <b/>
        <sz val="12"/>
        <rFont val="Calibri"/>
        <family val="2"/>
        <scheme val="minor"/>
      </rPr>
      <t xml:space="preserve">Botanical Name: </t>
    </r>
    <r>
      <rPr>
        <sz val="12"/>
        <rFont val="Calibri"/>
        <family val="2"/>
        <scheme val="minor"/>
      </rPr>
      <t xml:space="preserve">Rhaphiolepsis india 'Pink Lady'
</t>
    </r>
    <r>
      <rPr>
        <b/>
        <sz val="12"/>
        <rFont val="Calibri"/>
        <family val="2"/>
        <scheme val="minor"/>
      </rPr>
      <t xml:space="preserve">Common Name: </t>
    </r>
    <r>
      <rPr>
        <sz val="12"/>
        <rFont val="Calibri"/>
        <family val="2"/>
        <scheme val="minor"/>
      </rPr>
      <t>Pink Lady Indian Hawthorn</t>
    </r>
  </si>
  <si>
    <r>
      <rPr>
        <b/>
        <sz val="12"/>
        <rFont val="Calibri"/>
        <family val="2"/>
        <scheme val="minor"/>
      </rPr>
      <t xml:space="preserve">Botanical Name: </t>
    </r>
    <r>
      <rPr>
        <sz val="12"/>
        <rFont val="Calibri"/>
        <family val="2"/>
        <scheme val="minor"/>
      </rPr>
      <t xml:space="preserve">Ribes aureum
</t>
    </r>
    <r>
      <rPr>
        <b/>
        <sz val="12"/>
        <rFont val="Calibri"/>
        <family val="2"/>
        <scheme val="minor"/>
      </rPr>
      <t xml:space="preserve">Common Name: </t>
    </r>
    <r>
      <rPr>
        <sz val="12"/>
        <rFont val="Calibri"/>
        <family val="2"/>
        <scheme val="minor"/>
      </rPr>
      <t>Golden Currant</t>
    </r>
  </si>
  <si>
    <r>
      <rPr>
        <b/>
        <sz val="12"/>
        <rFont val="Calibri"/>
        <family val="2"/>
        <scheme val="minor"/>
      </rPr>
      <t xml:space="preserve">Botanical Name: </t>
    </r>
    <r>
      <rPr>
        <sz val="12"/>
        <rFont val="Calibri"/>
        <family val="2"/>
        <scheme val="minor"/>
      </rPr>
      <t xml:space="preserve">Rosmarinus officinalis 'Tuscan Blue'
</t>
    </r>
    <r>
      <rPr>
        <b/>
        <sz val="12"/>
        <rFont val="Calibri"/>
        <family val="2"/>
        <scheme val="minor"/>
      </rPr>
      <t xml:space="preserve">Common Name: </t>
    </r>
    <r>
      <rPr>
        <sz val="12"/>
        <rFont val="Calibri"/>
        <family val="2"/>
        <scheme val="minor"/>
      </rPr>
      <t>Tuscan Blue Rosemary</t>
    </r>
  </si>
  <si>
    <r>
      <rPr>
        <b/>
        <sz val="12"/>
        <rFont val="Calibri"/>
        <family val="2"/>
        <scheme val="minor"/>
      </rPr>
      <t xml:space="preserve">Botanical Name: </t>
    </r>
    <r>
      <rPr>
        <sz val="12"/>
        <rFont val="Calibri"/>
        <family val="2"/>
        <scheme val="minor"/>
      </rPr>
      <t xml:space="preserve">Rosmarinus officinalis 'Blue Spires'
</t>
    </r>
    <r>
      <rPr>
        <b/>
        <sz val="12"/>
        <rFont val="Calibri"/>
        <family val="2"/>
        <scheme val="minor"/>
      </rPr>
      <t xml:space="preserve">Common Name: </t>
    </r>
    <r>
      <rPr>
        <sz val="12"/>
        <rFont val="Calibri"/>
        <family val="2"/>
        <scheme val="minor"/>
      </rPr>
      <t>Blue Spires Rosemary</t>
    </r>
  </si>
  <si>
    <r>
      <rPr>
        <b/>
        <sz val="12"/>
        <rFont val="Calibri"/>
        <family val="2"/>
        <scheme val="minor"/>
      </rPr>
      <t xml:space="preserve">Botanical Name: </t>
    </r>
    <r>
      <rPr>
        <sz val="12"/>
        <rFont val="Calibri"/>
        <family val="2"/>
        <scheme val="minor"/>
      </rPr>
      <t xml:space="preserve">Salvia apiana
</t>
    </r>
    <r>
      <rPr>
        <b/>
        <sz val="12"/>
        <rFont val="Calibri"/>
        <family val="2"/>
        <scheme val="minor"/>
      </rPr>
      <t xml:space="preserve">Common Name: </t>
    </r>
    <r>
      <rPr>
        <sz val="12"/>
        <rFont val="Calibri"/>
        <family val="2"/>
        <scheme val="minor"/>
      </rPr>
      <t>White Sage</t>
    </r>
  </si>
  <si>
    <r>
      <rPr>
        <b/>
        <sz val="12"/>
        <rFont val="Calibri"/>
        <family val="2"/>
        <scheme val="minor"/>
      </rPr>
      <t xml:space="preserve">Botanical Name: </t>
    </r>
    <r>
      <rPr>
        <sz val="12"/>
        <rFont val="Calibri"/>
        <family val="2"/>
        <scheme val="minor"/>
      </rPr>
      <t xml:space="preserve">Westringia fruticosa 'Blue Gem'
</t>
    </r>
    <r>
      <rPr>
        <b/>
        <sz val="12"/>
        <rFont val="Calibri"/>
        <family val="2"/>
        <scheme val="minor"/>
      </rPr>
      <t xml:space="preserve">Common Name: </t>
    </r>
    <r>
      <rPr>
        <sz val="12"/>
        <rFont val="Calibri"/>
        <family val="2"/>
        <scheme val="minor"/>
      </rPr>
      <t>Blue Gem Costal Rosemary</t>
    </r>
  </si>
  <si>
    <t>SUCCULENTS</t>
  </si>
  <si>
    <r>
      <rPr>
        <b/>
        <sz val="12"/>
        <rFont val="Calibri"/>
        <family val="2"/>
        <scheme val="minor"/>
      </rPr>
      <t xml:space="preserve">Botanical Name: </t>
    </r>
    <r>
      <rPr>
        <sz val="12"/>
        <rFont val="Calibri"/>
        <family val="2"/>
        <scheme val="minor"/>
      </rPr>
      <t xml:space="preserve">Aeonium haworthii
</t>
    </r>
    <r>
      <rPr>
        <b/>
        <sz val="12"/>
        <rFont val="Calibri"/>
        <family val="2"/>
        <scheme val="minor"/>
      </rPr>
      <t xml:space="preserve">Common Name: </t>
    </r>
    <r>
      <rPr>
        <sz val="12"/>
        <rFont val="Calibri"/>
        <family val="2"/>
        <scheme val="minor"/>
      </rPr>
      <t>Pinwheel</t>
    </r>
  </si>
  <si>
    <r>
      <rPr>
        <b/>
        <sz val="12"/>
        <rFont val="Calibri"/>
        <family val="2"/>
        <scheme val="minor"/>
      </rPr>
      <t xml:space="preserve">Botanical Name: </t>
    </r>
    <r>
      <rPr>
        <sz val="12"/>
        <rFont val="Calibri"/>
        <family val="2"/>
        <scheme val="minor"/>
      </rPr>
      <t xml:space="preserve">Aeonium 'Kiwi'
</t>
    </r>
    <r>
      <rPr>
        <b/>
        <sz val="12"/>
        <rFont val="Calibri"/>
        <family val="2"/>
        <scheme val="minor"/>
      </rPr>
      <t xml:space="preserve">Common Name: </t>
    </r>
    <r>
      <rPr>
        <sz val="12"/>
        <rFont val="Calibri"/>
        <family val="2"/>
        <scheme val="minor"/>
      </rPr>
      <t>Kiwi Aeonium</t>
    </r>
  </si>
  <si>
    <r>
      <rPr>
        <b/>
        <sz val="12"/>
        <rFont val="Calibri"/>
        <family val="2"/>
        <scheme val="minor"/>
      </rPr>
      <t xml:space="preserve">Botanical Name: </t>
    </r>
    <r>
      <rPr>
        <sz val="12"/>
        <rFont val="Calibri"/>
        <family val="2"/>
        <scheme val="minor"/>
      </rPr>
      <t xml:space="preserve">Aeonium 'Mint Saucer'
</t>
    </r>
    <r>
      <rPr>
        <b/>
        <sz val="12"/>
        <rFont val="Calibri"/>
        <family val="2"/>
        <scheme val="minor"/>
      </rPr>
      <t xml:space="preserve">Common Name: </t>
    </r>
    <r>
      <rPr>
        <sz val="12"/>
        <rFont val="Calibri"/>
        <family val="2"/>
        <scheme val="minor"/>
      </rPr>
      <t>Green Aeonium</t>
    </r>
  </si>
  <si>
    <r>
      <rPr>
        <b/>
        <sz val="12"/>
        <rFont val="Calibri"/>
        <family val="2"/>
        <scheme val="minor"/>
      </rPr>
      <t xml:space="preserve">Botanical Name: </t>
    </r>
    <r>
      <rPr>
        <sz val="12"/>
        <rFont val="Calibri"/>
        <family val="2"/>
        <scheme val="minor"/>
      </rPr>
      <t xml:space="preserve">Agave attenuata
</t>
    </r>
    <r>
      <rPr>
        <b/>
        <sz val="12"/>
        <rFont val="Calibri"/>
        <family val="2"/>
        <scheme val="minor"/>
      </rPr>
      <t xml:space="preserve">Common Name: </t>
    </r>
    <r>
      <rPr>
        <sz val="12"/>
        <rFont val="Calibri"/>
        <family val="2"/>
        <scheme val="minor"/>
      </rPr>
      <t>Foxtail Agave</t>
    </r>
  </si>
  <si>
    <r>
      <rPr>
        <b/>
        <sz val="12"/>
        <rFont val="Calibri"/>
        <family val="2"/>
        <scheme val="minor"/>
      </rPr>
      <t xml:space="preserve">Botanical Name: </t>
    </r>
    <r>
      <rPr>
        <sz val="12"/>
        <rFont val="Calibri"/>
        <family val="2"/>
        <scheme val="minor"/>
      </rPr>
      <t xml:space="preserve">Agave 'Blue Flame'
</t>
    </r>
    <r>
      <rPr>
        <b/>
        <sz val="12"/>
        <rFont val="Calibri"/>
        <family val="2"/>
        <scheme val="minor"/>
      </rPr>
      <t xml:space="preserve">Common Name: </t>
    </r>
    <r>
      <rPr>
        <sz val="12"/>
        <rFont val="Calibri"/>
        <family val="2"/>
        <scheme val="minor"/>
      </rPr>
      <t>Blue Flame Agave</t>
    </r>
  </si>
  <si>
    <r>
      <rPr>
        <b/>
        <sz val="12"/>
        <rFont val="Calibri"/>
        <family val="2"/>
        <scheme val="minor"/>
      </rPr>
      <t xml:space="preserve">Botanical Name: </t>
    </r>
    <r>
      <rPr>
        <sz val="12"/>
        <rFont val="Calibri"/>
        <family val="2"/>
        <scheme val="minor"/>
      </rPr>
      <t xml:space="preserve">Agave 'Blue Glow'
</t>
    </r>
    <r>
      <rPr>
        <b/>
        <sz val="12"/>
        <rFont val="Calibri"/>
        <family val="2"/>
        <scheme val="minor"/>
      </rPr>
      <t xml:space="preserve">Common Name: </t>
    </r>
    <r>
      <rPr>
        <sz val="12"/>
        <rFont val="Calibri"/>
        <family val="2"/>
        <scheme val="minor"/>
      </rPr>
      <t>Blue Glow Agave</t>
    </r>
  </si>
  <si>
    <r>
      <rPr>
        <b/>
        <sz val="12"/>
        <rFont val="Calibri"/>
        <family val="2"/>
        <scheme val="minor"/>
      </rPr>
      <t xml:space="preserve">Botanical Name: </t>
    </r>
    <r>
      <rPr>
        <sz val="12"/>
        <rFont val="Calibri"/>
        <family val="2"/>
        <scheme val="minor"/>
      </rPr>
      <t xml:space="preserve">Hesperaloe parviflora 'Brakelights'
</t>
    </r>
    <r>
      <rPr>
        <b/>
        <sz val="12"/>
        <rFont val="Calibri"/>
        <family val="2"/>
        <scheme val="minor"/>
      </rPr>
      <t xml:space="preserve">Common Name: </t>
    </r>
    <r>
      <rPr>
        <sz val="12"/>
        <rFont val="Calibri"/>
        <family val="2"/>
        <scheme val="minor"/>
      </rPr>
      <t>Yucca</t>
    </r>
  </si>
  <si>
    <r>
      <rPr>
        <b/>
        <sz val="12"/>
        <rFont val="Calibri"/>
        <family val="2"/>
        <scheme val="minor"/>
      </rPr>
      <t xml:space="preserve">Botanical Name: </t>
    </r>
    <r>
      <rPr>
        <sz val="12"/>
        <rFont val="Calibri"/>
        <family val="2"/>
        <scheme val="minor"/>
      </rPr>
      <t xml:space="preserve">Kalanchoe thyrisiflora
</t>
    </r>
    <r>
      <rPr>
        <b/>
        <sz val="12"/>
        <rFont val="Calibri"/>
        <family val="2"/>
        <scheme val="minor"/>
      </rPr>
      <t xml:space="preserve">Common Name: </t>
    </r>
    <r>
      <rPr>
        <sz val="12"/>
        <rFont val="Calibri"/>
        <family val="2"/>
        <scheme val="minor"/>
      </rPr>
      <t>Paddle Plant</t>
    </r>
  </si>
  <si>
    <r>
      <rPr>
        <b/>
        <sz val="12"/>
        <rFont val="Calibri"/>
        <family val="2"/>
        <scheme val="minor"/>
      </rPr>
      <t xml:space="preserve">Botanical Name: </t>
    </r>
    <r>
      <rPr>
        <sz val="12"/>
        <rFont val="Calibri"/>
        <family val="2"/>
        <scheme val="minor"/>
      </rPr>
      <t xml:space="preserve">Sedum 'Angelina'
</t>
    </r>
    <r>
      <rPr>
        <b/>
        <sz val="12"/>
        <rFont val="Calibri"/>
        <family val="2"/>
        <scheme val="minor"/>
      </rPr>
      <t xml:space="preserve">Common Name: </t>
    </r>
    <r>
      <rPr>
        <sz val="12"/>
        <rFont val="Calibri"/>
        <family val="2"/>
        <scheme val="minor"/>
      </rPr>
      <t>Angelina Stonecrop</t>
    </r>
  </si>
  <si>
    <r>
      <rPr>
        <b/>
        <sz val="12"/>
        <rFont val="Calibri"/>
        <family val="2"/>
        <scheme val="minor"/>
      </rPr>
      <t xml:space="preserve">Botanical Name: </t>
    </r>
    <r>
      <rPr>
        <sz val="12"/>
        <rFont val="Calibri"/>
        <family val="2"/>
        <scheme val="minor"/>
      </rPr>
      <t xml:space="preserve">Senecio serpens
</t>
    </r>
    <r>
      <rPr>
        <b/>
        <sz val="12"/>
        <rFont val="Calibri"/>
        <family val="2"/>
        <scheme val="minor"/>
      </rPr>
      <t xml:space="preserve">Common Name: </t>
    </r>
    <r>
      <rPr>
        <sz val="12"/>
        <rFont val="Calibri"/>
        <family val="2"/>
        <scheme val="minor"/>
      </rPr>
      <t>Blue Chalksticks</t>
    </r>
  </si>
  <si>
    <t>VINES</t>
  </si>
  <si>
    <r>
      <rPr>
        <b/>
        <sz val="12"/>
        <rFont val="Calibri"/>
        <family val="2"/>
        <scheme val="minor"/>
      </rPr>
      <t xml:space="preserve">Botanical Name: </t>
    </r>
    <r>
      <rPr>
        <sz val="12"/>
        <rFont val="Calibri"/>
        <family val="2"/>
        <scheme val="minor"/>
      </rPr>
      <t xml:space="preserve">Clystostoma callistegioides
</t>
    </r>
    <r>
      <rPr>
        <b/>
        <sz val="12"/>
        <rFont val="Calibri"/>
        <family val="2"/>
        <scheme val="minor"/>
      </rPr>
      <t xml:space="preserve">Common Name: </t>
    </r>
    <r>
      <rPr>
        <sz val="12"/>
        <rFont val="Calibri"/>
        <family val="2"/>
        <scheme val="minor"/>
      </rPr>
      <t>Lavender Trumpet Vine</t>
    </r>
  </si>
  <si>
    <t>GRASSES AND GROUNDCOVERS</t>
  </si>
  <si>
    <r>
      <rPr>
        <b/>
        <sz val="12"/>
        <rFont val="Calibri"/>
        <family val="2"/>
        <scheme val="minor"/>
      </rPr>
      <t xml:space="preserve">Botanical Name: </t>
    </r>
    <r>
      <rPr>
        <sz val="12"/>
        <rFont val="Calibri"/>
        <family val="2"/>
        <scheme val="minor"/>
      </rPr>
      <t xml:space="preserve">Carex tumulicola
</t>
    </r>
    <r>
      <rPr>
        <b/>
        <sz val="12"/>
        <rFont val="Calibri"/>
        <family val="2"/>
        <scheme val="minor"/>
      </rPr>
      <t xml:space="preserve">Common Name: </t>
    </r>
    <r>
      <rPr>
        <sz val="12"/>
        <rFont val="Calibri"/>
        <family val="2"/>
        <scheme val="minor"/>
      </rPr>
      <t>Berkeley Sedge</t>
    </r>
  </si>
  <si>
    <r>
      <rPr>
        <b/>
        <sz val="12"/>
        <rFont val="Calibri"/>
        <family val="2"/>
        <scheme val="minor"/>
      </rPr>
      <t xml:space="preserve">Botanical Name: </t>
    </r>
    <r>
      <rPr>
        <sz val="12"/>
        <rFont val="Calibri"/>
        <family val="2"/>
        <scheme val="minor"/>
      </rPr>
      <t xml:space="preserve">Dianella revoluta
</t>
    </r>
    <r>
      <rPr>
        <b/>
        <sz val="12"/>
        <rFont val="Calibri"/>
        <family val="2"/>
        <scheme val="minor"/>
      </rPr>
      <t xml:space="preserve">Common Name: </t>
    </r>
    <r>
      <rPr>
        <sz val="12"/>
        <rFont val="Calibri"/>
        <family val="2"/>
        <scheme val="minor"/>
      </rPr>
      <t>Flax Lily</t>
    </r>
  </si>
  <si>
    <r>
      <rPr>
        <b/>
        <sz val="12"/>
        <rFont val="Calibri"/>
        <family val="2"/>
        <scheme val="minor"/>
      </rPr>
      <t xml:space="preserve">Botanical Name: </t>
    </r>
    <r>
      <rPr>
        <sz val="12"/>
        <rFont val="Calibri"/>
        <family val="2"/>
        <scheme val="minor"/>
      </rPr>
      <t xml:space="preserve">Dietes bicolor
</t>
    </r>
    <r>
      <rPr>
        <b/>
        <sz val="12"/>
        <rFont val="Calibri"/>
        <family val="2"/>
        <scheme val="minor"/>
      </rPr>
      <t xml:space="preserve">Common Name: </t>
    </r>
    <r>
      <rPr>
        <sz val="12"/>
        <rFont val="Calibri"/>
        <family val="2"/>
        <scheme val="minor"/>
      </rPr>
      <t>Fortnight Lily</t>
    </r>
  </si>
  <si>
    <r>
      <rPr>
        <b/>
        <sz val="12"/>
        <rFont val="Calibri"/>
        <family val="2"/>
        <scheme val="minor"/>
      </rPr>
      <t xml:space="preserve">Botanical Name: </t>
    </r>
    <r>
      <rPr>
        <sz val="12"/>
        <rFont val="Calibri"/>
        <family val="2"/>
        <scheme val="minor"/>
      </rPr>
      <t xml:space="preserve">Festuca glauca
</t>
    </r>
    <r>
      <rPr>
        <b/>
        <sz val="12"/>
        <rFont val="Calibri"/>
        <family val="2"/>
        <scheme val="minor"/>
      </rPr>
      <t xml:space="preserve">Common Name: </t>
    </r>
    <r>
      <rPr>
        <sz val="12"/>
        <rFont val="Calibri"/>
        <family val="2"/>
        <scheme val="minor"/>
      </rPr>
      <t>Blue Fescue</t>
    </r>
  </si>
  <si>
    <r>
      <rPr>
        <b/>
        <sz val="12"/>
        <rFont val="Calibri"/>
        <family val="2"/>
        <scheme val="minor"/>
      </rPr>
      <t xml:space="preserve">Botanical Name: </t>
    </r>
    <r>
      <rPr>
        <sz val="12"/>
        <rFont val="Calibri"/>
        <family val="2"/>
        <scheme val="minor"/>
      </rPr>
      <t xml:space="preserve">Juncus patens
</t>
    </r>
    <r>
      <rPr>
        <b/>
        <sz val="12"/>
        <rFont val="Calibri"/>
        <family val="2"/>
        <scheme val="minor"/>
      </rPr>
      <t xml:space="preserve">Common Name: </t>
    </r>
    <r>
      <rPr>
        <sz val="12"/>
        <rFont val="Calibri"/>
        <family val="2"/>
        <scheme val="minor"/>
      </rPr>
      <t>Common Rush</t>
    </r>
  </si>
  <si>
    <r>
      <rPr>
        <b/>
        <sz val="12"/>
        <rFont val="Calibri"/>
        <family val="2"/>
        <scheme val="minor"/>
      </rPr>
      <t xml:space="preserve">Botanical Name: </t>
    </r>
    <r>
      <rPr>
        <sz val="12"/>
        <rFont val="Calibri"/>
        <family val="2"/>
        <scheme val="minor"/>
      </rPr>
      <t xml:space="preserve">Leymus condensatus 'Canyon Prince'
</t>
    </r>
    <r>
      <rPr>
        <b/>
        <sz val="12"/>
        <rFont val="Calibri"/>
        <family val="2"/>
        <scheme val="minor"/>
      </rPr>
      <t xml:space="preserve">Common Name: </t>
    </r>
    <r>
      <rPr>
        <sz val="12"/>
        <rFont val="Calibri"/>
        <family val="2"/>
        <scheme val="minor"/>
      </rPr>
      <t>Canyon Prince Giant Rye Grass</t>
    </r>
  </si>
  <si>
    <r>
      <rPr>
        <b/>
        <sz val="12"/>
        <rFont val="Calibri"/>
        <family val="2"/>
        <scheme val="minor"/>
      </rPr>
      <t xml:space="preserve">Botanical Name: </t>
    </r>
    <r>
      <rPr>
        <sz val="12"/>
        <rFont val="Calibri"/>
        <family val="2"/>
        <scheme val="minor"/>
      </rPr>
      <t xml:space="preserve">Muhlenbergia dubia
</t>
    </r>
    <r>
      <rPr>
        <b/>
        <sz val="12"/>
        <rFont val="Calibri"/>
        <family val="2"/>
        <scheme val="minor"/>
      </rPr>
      <t xml:space="preserve">Common Name: </t>
    </r>
    <r>
      <rPr>
        <sz val="12"/>
        <rFont val="Calibri"/>
        <family val="2"/>
        <scheme val="minor"/>
      </rPr>
      <t>Pine Muhly</t>
    </r>
  </si>
  <si>
    <r>
      <rPr>
        <b/>
        <sz val="12"/>
        <rFont val="Calibri"/>
        <family val="2"/>
        <scheme val="minor"/>
      </rPr>
      <t xml:space="preserve">Botanical Name: </t>
    </r>
    <r>
      <rPr>
        <sz val="12"/>
        <rFont val="Calibri"/>
        <family val="2"/>
        <scheme val="minor"/>
      </rPr>
      <t xml:space="preserve">Muhlenbergia rigens
</t>
    </r>
    <r>
      <rPr>
        <b/>
        <sz val="12"/>
        <rFont val="Calibri"/>
        <family val="2"/>
        <scheme val="minor"/>
      </rPr>
      <t xml:space="preserve">Common Name: </t>
    </r>
    <r>
      <rPr>
        <sz val="12"/>
        <rFont val="Calibri"/>
        <family val="2"/>
        <scheme val="minor"/>
      </rPr>
      <t>Deer Grass</t>
    </r>
  </si>
  <si>
    <r>
      <rPr>
        <b/>
        <sz val="12"/>
        <rFont val="Calibri"/>
        <family val="2"/>
        <scheme val="minor"/>
      </rPr>
      <t xml:space="preserve">Botanical Name: </t>
    </r>
    <r>
      <rPr>
        <sz val="12"/>
        <rFont val="Calibri"/>
        <family val="2"/>
        <scheme val="minor"/>
      </rPr>
      <t xml:space="preserve">Pennisetum orientale
</t>
    </r>
    <r>
      <rPr>
        <b/>
        <sz val="12"/>
        <rFont val="Calibri"/>
        <family val="2"/>
        <scheme val="minor"/>
      </rPr>
      <t xml:space="preserve">Common Name: </t>
    </r>
    <r>
      <rPr>
        <sz val="12"/>
        <rFont val="Calibri"/>
        <family val="2"/>
        <scheme val="minor"/>
      </rPr>
      <t>Fountain Grass</t>
    </r>
  </si>
  <si>
    <r>
      <rPr>
        <b/>
        <sz val="12"/>
        <rFont val="Calibri"/>
        <family val="2"/>
        <scheme val="minor"/>
      </rPr>
      <t xml:space="preserve">Botanical Name: </t>
    </r>
    <r>
      <rPr>
        <sz val="12"/>
        <rFont val="Calibri"/>
        <family val="2"/>
        <scheme val="minor"/>
      </rPr>
      <t xml:space="preserve">Salvia chamaedryoides
</t>
    </r>
    <r>
      <rPr>
        <b/>
        <sz val="12"/>
        <rFont val="Calibri"/>
        <family val="2"/>
        <scheme val="minor"/>
      </rPr>
      <t xml:space="preserve">Common Name: </t>
    </r>
    <r>
      <rPr>
        <sz val="12"/>
        <rFont val="Calibri"/>
        <family val="2"/>
        <scheme val="minor"/>
      </rPr>
      <t>Blue Sage</t>
    </r>
  </si>
  <si>
    <t>MULCH</t>
  </si>
  <si>
    <t>L4.20</t>
  </si>
  <si>
    <t>Layer Of Wood Chip Mulch
- 3" Thick</t>
  </si>
  <si>
    <t xml:space="preserve">PLANTER DRAINAGE </t>
  </si>
  <si>
    <t>1,2,3/L1.21</t>
  </si>
  <si>
    <t>Planter Drainage on Structure</t>
  </si>
  <si>
    <t>ROOT CONTROL BARRIER</t>
  </si>
  <si>
    <t>5/L1.21</t>
  </si>
  <si>
    <t xml:space="preserve">Root Control Barrier
-24" Deep </t>
  </si>
  <si>
    <t>IRRIGATION</t>
  </si>
  <si>
    <t>PIPING</t>
  </si>
  <si>
    <t>L3.01</t>
  </si>
  <si>
    <t>L3.10</t>
  </si>
  <si>
    <t>Mainline 1-1/2" Irrigation Line</t>
  </si>
  <si>
    <t xml:space="preserve">Sand Backfill </t>
  </si>
  <si>
    <t>Mainline 1-1/4" Irrigation Line</t>
  </si>
  <si>
    <t>Mainline 1" Irrigation Line</t>
  </si>
  <si>
    <t>Lateral 1" Irrigation Line</t>
  </si>
  <si>
    <t>PIPLINES</t>
  </si>
  <si>
    <t>L3.01-05</t>
  </si>
  <si>
    <t>L3.03-05</t>
  </si>
  <si>
    <t>Lateral 1" Irrigation Line
-Surface</t>
  </si>
  <si>
    <t>L3.05</t>
  </si>
  <si>
    <t>Mainline 1" Irrigation Line
-Surface</t>
  </si>
  <si>
    <t>DRIPLINES</t>
  </si>
  <si>
    <t>Irrigation Drip Line-HDL-06-12-CV</t>
  </si>
  <si>
    <t>SCH-40 PVC Sleeves</t>
  </si>
  <si>
    <t>AVR-075-Air Relief Valve</t>
  </si>
  <si>
    <t>L3.01-06</t>
  </si>
  <si>
    <t>Control Wire Stud Out from Floor</t>
  </si>
  <si>
    <t>CP100B-Munro Complete Pro II Booster Pump</t>
  </si>
  <si>
    <t>L3.01-03</t>
  </si>
  <si>
    <t>ECO-ID-Drip Operation Indicator</t>
  </si>
  <si>
    <t>Febco - 825YA-Size 1-1/2"</t>
  </si>
  <si>
    <t>Flomec-QS-200-1 1/2"</t>
  </si>
  <si>
    <t>Hunter-A2C-1200-SS w/(2) A2M-600 Expansion Modules</t>
  </si>
  <si>
    <t>Hunter-HQ33D-RC Quick Coupler Valve</t>
  </si>
  <si>
    <t>Hunter-ICV-FS w/AS-ADJ - 1"</t>
  </si>
  <si>
    <t>Hunter-ICZ-101-LF-25 for .5-20 GPM</t>
  </si>
  <si>
    <t>Hunter-RZWS-18-CV</t>
  </si>
  <si>
    <t>Hunter-Solar Sync Sen Wired Solar Sync Sensor</t>
  </si>
  <si>
    <t>Lateral Line Penetraion Stub</t>
  </si>
  <si>
    <t>Mainline Penetrarion Stub out from Floor</t>
  </si>
  <si>
    <t>Nibco-T-111 Gate Valve 2 1/2" and Smaller</t>
  </si>
  <si>
    <t>PLD-BV-Manual FLush Valve</t>
  </si>
  <si>
    <t>PLD-LOC-050-Drip Connector</t>
  </si>
  <si>
    <t>Side Wall Penetration</t>
  </si>
  <si>
    <t>Superior-3300 Series-Normally Open</t>
  </si>
  <si>
    <t>Watts-L223-HP-1 1/2"</t>
  </si>
  <si>
    <t>1-1/2"Irrigation Water Service Connection</t>
  </si>
  <si>
    <t>1-1/2" IRR water Connection Assembly</t>
  </si>
  <si>
    <t>1-1/2" IRR water meter</t>
  </si>
  <si>
    <t>L3.02-06</t>
  </si>
  <si>
    <t>Control Wire Conduit</t>
  </si>
  <si>
    <t>L3.02-04</t>
  </si>
  <si>
    <t>Non-Pressurized Lateral Routing</t>
  </si>
  <si>
    <t>L3.04-06</t>
  </si>
  <si>
    <t>Copper Mainline Routing-1"</t>
  </si>
  <si>
    <t>L3.02</t>
  </si>
  <si>
    <t>Copper Mainline Routing-1-1/4"</t>
  </si>
  <si>
    <t>Landscaping and Irrigation Sub Total</t>
  </si>
  <si>
    <t>MISC ITEMS</t>
  </si>
  <si>
    <t>Adjust Pull Box to Grade</t>
  </si>
  <si>
    <t>Misc. Items Sub Total</t>
  </si>
  <si>
    <t>TOTAL SITE WORKS</t>
  </si>
  <si>
    <t>EXCLUSIONS:</t>
  </si>
  <si>
    <t>Outdoor Lounge Furniture(By Owner)</t>
  </si>
  <si>
    <t>Outdoor Dining Furniture(By Owner)</t>
  </si>
  <si>
    <t>Outdoor Grill-(By Owner)</t>
  </si>
  <si>
    <t>Outdoor Patio Furniture-(By Owner)</t>
  </si>
  <si>
    <t>Anything not Mentioned above</t>
  </si>
  <si>
    <t xml:space="preserve">Earthwork </t>
  </si>
  <si>
    <t xml:space="preserve">Site Demolitions </t>
  </si>
  <si>
    <t xml:space="preserve">Asphalt Pavement </t>
  </si>
  <si>
    <t xml:space="preserve">Concrete Pavement </t>
  </si>
  <si>
    <t xml:space="preserve">Concrete Pavers </t>
  </si>
  <si>
    <t xml:space="preserve">Concrete Sidewalk </t>
  </si>
  <si>
    <t xml:space="preserve">Curbs and Gutter </t>
  </si>
  <si>
    <t xml:space="preserve">Transformer Pad </t>
  </si>
  <si>
    <t xml:space="preserve">Paving </t>
  </si>
  <si>
    <t xml:space="preserve">Walls and Curbs </t>
  </si>
  <si>
    <t xml:space="preserve">Site Amenities </t>
  </si>
  <si>
    <t xml:space="preserve">Retaining Walls </t>
  </si>
  <si>
    <t xml:space="preserve">Storm System </t>
  </si>
  <si>
    <t xml:space="preserve">Sanitary System </t>
  </si>
  <si>
    <t xml:space="preserve">Water System </t>
  </si>
  <si>
    <t xml:space="preserve">Gas System </t>
  </si>
  <si>
    <t xml:space="preserve">Electrical System </t>
  </si>
  <si>
    <t xml:space="preserve">Fence On Planter Walls </t>
  </si>
  <si>
    <t xml:space="preserve">Landscaping and Irrigation </t>
  </si>
  <si>
    <t xml:space="preserve">Misc. Items </t>
  </si>
  <si>
    <t>Site Works</t>
  </si>
  <si>
    <t>MEP Works</t>
  </si>
  <si>
    <t>Conveyance</t>
  </si>
  <si>
    <r>
      <t xml:space="preserve">P-104 - 2' X 2' IPE Wood Tile W/ Pedestal System
</t>
    </r>
    <r>
      <rPr>
        <b/>
        <sz val="12"/>
        <rFont val="Calibri"/>
        <family val="2"/>
        <scheme val="minor"/>
      </rPr>
      <t>- Fsc Certified Ipe
- Color: Brown
- Manufacturer: Bison Innovative Products (800) 333 4234</t>
    </r>
  </si>
  <si>
    <t>CONVEYANCE</t>
  </si>
  <si>
    <r>
      <t>Trash Chute System</t>
    </r>
    <r>
      <rPr>
        <b/>
        <sz val="12"/>
        <rFont val="Calibri"/>
        <family val="2"/>
        <scheme val="minor"/>
      </rPr>
      <t xml:space="preserve">
Height:</t>
    </r>
    <r>
      <rPr>
        <sz val="12"/>
        <rFont val="Calibri"/>
        <family val="2"/>
        <scheme val="minor"/>
      </rPr>
      <t xml:space="preserve"> 63'-8"</t>
    </r>
  </si>
  <si>
    <t>Trash Chutes Sub Total</t>
  </si>
  <si>
    <t>TRASH CHUTES</t>
  </si>
  <si>
    <r>
      <t xml:space="preserve">Lettering </t>
    </r>
    <r>
      <rPr>
        <b/>
        <sz val="12"/>
        <rFont val="Calibri"/>
        <family val="2"/>
        <scheme val="minor"/>
      </rPr>
      <t>"EV CHARGING ONLY"</t>
    </r>
  </si>
  <si>
    <r>
      <t xml:space="preserve">Lettering </t>
    </r>
    <r>
      <rPr>
        <b/>
        <sz val="12"/>
        <rFont val="Calibri"/>
        <family val="2"/>
        <scheme val="minor"/>
      </rPr>
      <t>"FUTURE EV"</t>
    </r>
  </si>
  <si>
    <r>
      <t xml:space="preserve">Lettering </t>
    </r>
    <r>
      <rPr>
        <b/>
        <sz val="12"/>
        <rFont val="Calibri"/>
        <family val="2"/>
        <scheme val="minor"/>
      </rPr>
      <t>"TANDEM"</t>
    </r>
  </si>
  <si>
    <t>Removal Of Conc. Box Structure
Area: 8 SF</t>
  </si>
  <si>
    <t>1 #4 Cont. in Wall @ Bench Height</t>
  </si>
  <si>
    <t>4" Domestic Water Connection Assembly</t>
  </si>
  <si>
    <t>Photovoltaic Solar System</t>
  </si>
  <si>
    <t>Main Communication Board</t>
  </si>
  <si>
    <t xml:space="preserve">Transformer </t>
  </si>
  <si>
    <t xml:space="preserve">Trash Chutes </t>
  </si>
  <si>
    <t>Metals</t>
  </si>
  <si>
    <t>Wood Plastics and Composites</t>
  </si>
  <si>
    <t>Thermal and Moisture Protection</t>
  </si>
  <si>
    <t>Openings</t>
  </si>
  <si>
    <t>Finishes</t>
  </si>
  <si>
    <t>Specialties</t>
  </si>
  <si>
    <t>Parking Markings</t>
  </si>
  <si>
    <t>PARKING MARKINGS</t>
  </si>
  <si>
    <t>Parking Markings Sub Total</t>
  </si>
  <si>
    <t>12"x6" Wall Louver</t>
  </si>
  <si>
    <t xml:space="preserve">QTY.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</si>
</sst>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_);_(* \(#,##0\);_(* &quot;-&quot;_);_(@_)"/>
    <numFmt numFmtId="44" formatCode="_(&quot;$&quot;* #,##0.00_);_(&quot;$&quot;* \(#,##0.00\);_(&quot;$&quot;* &quot;-&quot;??_);_(@_)"/>
    <numFmt numFmtId="43" formatCode="_(* #,##0.00_);_(* \(#,##0.00\);_(* &quot;-&quot;??_);_(@_)"/>
    <numFmt numFmtId="164" formatCode="_-* #,##0.00_-;\-* #,##0.00_-;_-* &quot;-&quot;??_-;_-@_-"/>
    <numFmt numFmtId="165" formatCode="&quot;$&quot;#,##0"/>
    <numFmt numFmtId="166" formatCode="_(&quot;$&quot;* #,##0_);_(&quot;$&quot;* \(#,##0\);_(&quot;$&quot;* &quot;-&quot;??_);_(@_)"/>
    <numFmt numFmtId="167" formatCode="_(&quot;$&quot;* #,##0_);_(&quot;$&quot;* \(#,##0\);_(&quot;$&quot;* &quot;-&quot;?_);_(@_)"/>
    <numFmt numFmtId="168" formatCode="_(&quot;$&quot;* #,##0.00_);_(&quot;$&quot;* \(#,##0.00\);_(&quot;$&quot;* &quot;-&quot;?_);_(@_)"/>
    <numFmt numFmtId="169" formatCode="_(* #,##0_);_(* \(#,##0\);_(* &quot;-&quot;??_);_(@_)"/>
    <numFmt numFmtId="170" formatCode="&quot;$&quot;#,##0.00"/>
    <numFmt numFmtId="171" formatCode="0.000"/>
    <numFmt numFmtId="172" formatCode="_(* #,##0.00_);_(* \(#,##0.00\);_(* &quot;-&quot;_);_(@_)"/>
    <numFmt numFmtId="173" formatCode="_(* #,##0.0_);_(* \(#,##0.0\);_(* &quot;-&quot;_);_(@_)"/>
    <numFmt numFmtId="174" formatCode="[$-F800]dddd\,\ mmmm\ dd\,\ yyyy"/>
    <numFmt numFmtId="175" formatCode="0\ &quot;CY&quot;"/>
    <numFmt numFmtId="176" formatCode="0.0000000"/>
    <numFmt numFmtId="177" formatCode="_(* #,##0.000_);_(* \(#,##0.000\);_(* &quot;-&quot;_);_(@_)"/>
    <numFmt numFmtId="178" formatCode="0.0"/>
    <numFmt numFmtId="179" formatCode="_-* #,##0_-;\-* #,##0_-;_-* &quot;-&quot;??_-;_-@_-"/>
  </numFmts>
  <fonts count="86"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2"/>
      <name val="Verdana"/>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0"/>
      <name val="Arial"/>
      <family val="2"/>
    </font>
    <font>
      <sz val="12"/>
      <name val="Calibri"/>
      <family val="2"/>
      <scheme val="minor"/>
    </font>
    <font>
      <b/>
      <sz val="12"/>
      <name val="Calibri"/>
      <family val="2"/>
      <scheme val="minor"/>
    </font>
    <font>
      <b/>
      <sz val="12"/>
      <color theme="0"/>
      <name val="Calibri"/>
      <family val="2"/>
      <scheme val="minor"/>
    </font>
    <font>
      <u/>
      <sz val="12"/>
      <color theme="10"/>
      <name val="Arial"/>
      <family val="2"/>
    </font>
    <font>
      <sz val="12"/>
      <color theme="0"/>
      <name val="Calibri"/>
      <family val="2"/>
      <scheme val="minor"/>
    </font>
    <font>
      <sz val="12"/>
      <color theme="1"/>
      <name val="Calibri"/>
      <family val="2"/>
      <scheme val="minor"/>
    </font>
    <font>
      <u/>
      <sz val="12"/>
      <color theme="0"/>
      <name val="Arial"/>
      <family val="2"/>
    </font>
    <font>
      <b/>
      <sz val="12"/>
      <color theme="0"/>
      <name val="Verdana"/>
      <family val="2"/>
    </font>
    <font>
      <sz val="12"/>
      <name val="Arial"/>
      <family val="2"/>
    </font>
    <font>
      <b/>
      <u/>
      <sz val="12"/>
      <name val="Calibri"/>
      <family val="2"/>
      <scheme val="minor"/>
    </font>
    <font>
      <b/>
      <sz val="12"/>
      <color rgb="FFFF0000"/>
      <name val="Calibri"/>
      <family val="2"/>
      <scheme val="minor"/>
    </font>
    <font>
      <b/>
      <i/>
      <sz val="12"/>
      <color rgb="FF002060"/>
      <name val="Calibri"/>
      <family val="2"/>
      <scheme val="minor"/>
    </font>
    <font>
      <b/>
      <sz val="12"/>
      <color theme="0"/>
      <name val="Times New Roman"/>
      <family val="1"/>
    </font>
    <font>
      <b/>
      <sz val="12"/>
      <name val="Times New Roman"/>
      <family val="1"/>
    </font>
    <font>
      <sz val="12"/>
      <name val="Times New Roman"/>
      <family val="1"/>
    </font>
    <font>
      <sz val="14"/>
      <name val="Calibri"/>
      <family val="2"/>
      <scheme val="minor"/>
    </font>
    <font>
      <u/>
      <sz val="14"/>
      <color theme="0"/>
      <name val="Calibri"/>
      <family val="2"/>
      <scheme val="minor"/>
    </font>
    <font>
      <u/>
      <sz val="14"/>
      <name val="Calibri"/>
      <family val="2"/>
      <scheme val="minor"/>
    </font>
    <font>
      <sz val="12"/>
      <color rgb="FFFF0000"/>
      <name val="Calibri"/>
      <family val="2"/>
      <scheme val="minor"/>
    </font>
    <font>
      <u/>
      <sz val="14"/>
      <color rgb="FFFF0000"/>
      <name val="Calibri"/>
      <family val="2"/>
      <scheme val="minor"/>
    </font>
    <font>
      <b/>
      <i/>
      <sz val="12"/>
      <color rgb="FF002060"/>
      <name val="Times New Roman"/>
      <family val="1"/>
    </font>
    <font>
      <sz val="12"/>
      <color theme="0"/>
      <name val="Times New Roman"/>
      <family val="1"/>
    </font>
    <font>
      <b/>
      <u/>
      <sz val="14"/>
      <color rgb="FFFF0000"/>
      <name val="Calibri"/>
      <family val="2"/>
      <scheme val="minor"/>
    </font>
    <font>
      <b/>
      <u/>
      <sz val="14"/>
      <name val="Calibri"/>
      <family val="2"/>
      <scheme val="minor"/>
    </font>
    <font>
      <b/>
      <sz val="14"/>
      <color rgb="FFFF0000"/>
      <name val="Calibri"/>
      <family val="2"/>
      <scheme val="minor"/>
    </font>
    <font>
      <b/>
      <sz val="14"/>
      <name val="Calibri"/>
      <family val="2"/>
      <scheme val="minor"/>
    </font>
    <font>
      <b/>
      <sz val="16"/>
      <name val="Calibri"/>
      <family val="2"/>
      <scheme val="minor"/>
    </font>
    <font>
      <sz val="16"/>
      <name val="Calibri"/>
      <family val="2"/>
      <scheme val="minor"/>
    </font>
    <font>
      <b/>
      <sz val="16"/>
      <name val="Verdana"/>
      <family val="2"/>
    </font>
    <font>
      <i/>
      <sz val="16"/>
      <name val="Calibri"/>
      <family val="2"/>
      <scheme val="minor"/>
    </font>
    <font>
      <b/>
      <u/>
      <sz val="16"/>
      <name val="Calibri"/>
      <family val="2"/>
      <scheme val="minor"/>
    </font>
    <font>
      <sz val="16"/>
      <name val="Calibri"/>
      <family val="2"/>
    </font>
    <font>
      <b/>
      <u/>
      <sz val="16"/>
      <name val="Calibri"/>
      <family val="2"/>
    </font>
    <font>
      <sz val="16"/>
      <color rgb="FFFF0000"/>
      <name val="Calibri"/>
      <family val="2"/>
      <scheme val="minor"/>
    </font>
    <font>
      <b/>
      <sz val="14"/>
      <color theme="0"/>
      <name val="Calibri"/>
      <family val="2"/>
      <scheme val="minor"/>
    </font>
    <font>
      <b/>
      <u/>
      <sz val="16"/>
      <color theme="0"/>
      <name val="Calibri"/>
      <family val="2"/>
      <scheme val="minor"/>
    </font>
    <font>
      <b/>
      <sz val="16"/>
      <color theme="0"/>
      <name val="Calibri"/>
      <family val="2"/>
      <scheme val="minor"/>
    </font>
    <font>
      <sz val="14"/>
      <color theme="0"/>
      <name val="Calibri"/>
      <family val="2"/>
      <scheme val="minor"/>
    </font>
    <font>
      <b/>
      <sz val="14"/>
      <color theme="0"/>
      <name val="Verdana"/>
      <family val="2"/>
    </font>
    <font>
      <b/>
      <i/>
      <sz val="12"/>
      <color theme="0"/>
      <name val="Calibri"/>
      <family val="2"/>
      <scheme val="minor"/>
    </font>
    <font>
      <b/>
      <i/>
      <sz val="11"/>
      <color rgb="FF002060"/>
      <name val="Calibri"/>
      <family val="2"/>
      <scheme val="minor"/>
    </font>
    <font>
      <b/>
      <i/>
      <sz val="10"/>
      <color rgb="FFF50101"/>
      <name val="Arial"/>
      <family val="2"/>
    </font>
    <font>
      <b/>
      <i/>
      <sz val="11"/>
      <color rgb="FFF50101"/>
      <name val="Arial"/>
      <family val="2"/>
    </font>
    <font>
      <b/>
      <sz val="11"/>
      <name val="Calibri"/>
      <family val="2"/>
      <scheme val="minor"/>
    </font>
    <font>
      <b/>
      <sz val="11"/>
      <color theme="0"/>
      <name val="Calibri"/>
      <family val="2"/>
      <scheme val="minor"/>
    </font>
    <font>
      <b/>
      <sz val="14"/>
      <color theme="1"/>
      <name val="Calibri"/>
      <family val="2"/>
      <scheme val="minor"/>
    </font>
    <font>
      <b/>
      <i/>
      <sz val="12"/>
      <color rgb="FF0070C0"/>
      <name val="Calibri"/>
      <family val="2"/>
      <scheme val="minor"/>
    </font>
    <font>
      <b/>
      <i/>
      <sz val="12"/>
      <color rgb="FF00B0F0"/>
      <name val="Calibri"/>
      <family val="2"/>
      <scheme val="minor"/>
    </font>
    <font>
      <b/>
      <sz val="12"/>
      <color theme="1"/>
      <name val="Calibri"/>
      <family val="2"/>
      <scheme val="minor"/>
    </font>
    <font>
      <sz val="11"/>
      <name val="Calibri"/>
      <family val="2"/>
      <scheme val="minor"/>
    </font>
    <font>
      <u/>
      <sz val="11"/>
      <color indexed="12"/>
      <name val="Calibri"/>
      <family val="2"/>
    </font>
    <font>
      <b/>
      <i/>
      <sz val="12"/>
      <color rgb="FFFF0000"/>
      <name val="Calibri"/>
      <family val="2"/>
      <scheme val="minor"/>
    </font>
    <font>
      <b/>
      <i/>
      <sz val="12"/>
      <color theme="1"/>
      <name val="Calibri"/>
      <family val="2"/>
      <scheme val="minor"/>
    </font>
    <font>
      <b/>
      <sz val="12"/>
      <color rgb="FFFF0000"/>
      <name val="Verdana"/>
      <family val="2"/>
    </font>
    <font>
      <u/>
      <sz val="14"/>
      <color theme="1"/>
      <name val="Calibri"/>
      <family val="2"/>
      <scheme val="minor"/>
    </font>
    <font>
      <i/>
      <sz val="12"/>
      <name val="Times New Roman"/>
      <family val="1"/>
    </font>
    <font>
      <u/>
      <sz val="12"/>
      <color theme="10"/>
      <name val="Times New Roman"/>
      <family val="1"/>
    </font>
    <font>
      <b/>
      <i/>
      <sz val="12"/>
      <name val="Calibri"/>
      <family val="2"/>
      <scheme val="minor"/>
    </font>
    <font>
      <b/>
      <i/>
      <sz val="12"/>
      <color rgb="FFC00000"/>
      <name val="Times New Roman"/>
      <family val="1"/>
    </font>
    <font>
      <b/>
      <sz val="12"/>
      <color rgb="FF002060"/>
      <name val="Calibri"/>
      <family val="2"/>
      <scheme val="minor"/>
    </font>
    <font>
      <b/>
      <u/>
      <sz val="12"/>
      <color rgb="FFFF0000"/>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ED2DC"/>
        <bgColor indexed="64"/>
      </patternFill>
    </fill>
    <fill>
      <patternFill patternType="solid">
        <fgColor rgb="FFD5D5D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s>
  <cellStyleXfs count="6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5"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0" fontId="23" fillId="0" borderId="0"/>
    <xf numFmtId="0" fontId="5" fillId="0" borderId="0"/>
    <xf numFmtId="43" fontId="23" fillId="0" borderId="0" applyFont="0" applyFill="0" applyBorder="0" applyAlignment="0" applyProtection="0"/>
    <xf numFmtId="0" fontId="24" fillId="0" borderId="0"/>
    <xf numFmtId="43" fontId="5" fillId="0" borderId="0" applyFont="0" applyFill="0" applyBorder="0" applyAlignment="0" applyProtection="0"/>
    <xf numFmtId="0" fontId="5" fillId="0" borderId="0"/>
    <xf numFmtId="44" fontId="24" fillId="0" borderId="0" applyFont="0" applyFill="0" applyBorder="0" applyAlignment="0" applyProtection="0"/>
    <xf numFmtId="0" fontId="2" fillId="0" borderId="0"/>
    <xf numFmtId="0" fontId="5" fillId="0" borderId="0"/>
    <xf numFmtId="0" fontId="2" fillId="0" borderId="0"/>
    <xf numFmtId="0" fontId="28" fillId="0" borderId="0" applyNumberFormat="0" applyFill="0" applyBorder="0" applyAlignment="0" applyProtection="0"/>
    <xf numFmtId="44" fontId="5" fillId="0" borderId="0" applyFont="0" applyFill="0" applyBorder="0" applyAlignment="0" applyProtection="0"/>
    <xf numFmtId="44" fontId="33"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0" fontId="75" fillId="0" borderId="0" applyNumberFormat="0" applyFill="0" applyBorder="0" applyAlignment="0" applyProtection="0">
      <alignment vertical="top"/>
      <protection locked="0"/>
    </xf>
  </cellStyleXfs>
  <cellXfs count="862">
    <xf numFmtId="0" fontId="0" fillId="0" borderId="0" xfId="0"/>
    <xf numFmtId="0" fontId="25" fillId="0" borderId="0" xfId="0" applyFont="1" applyFill="1" applyBorder="1" applyAlignment="1">
      <alignment vertical="top"/>
    </xf>
    <xf numFmtId="0" fontId="25" fillId="24" borderId="10" xfId="0" applyFont="1" applyFill="1" applyBorder="1" applyAlignment="1" applyProtection="1">
      <alignment horizontal="center" vertical="top" wrapText="1"/>
    </xf>
    <xf numFmtId="9" fontId="25" fillId="0" borderId="10" xfId="0" applyNumberFormat="1" applyFont="1" applyFill="1" applyBorder="1" applyAlignment="1">
      <alignment horizontal="center" vertical="top"/>
    </xf>
    <xf numFmtId="41" fontId="25" fillId="0" borderId="10" xfId="0" applyNumberFormat="1" applyFont="1" applyFill="1" applyBorder="1" applyAlignment="1">
      <alignment horizontal="center" vertical="top"/>
    </xf>
    <xf numFmtId="0" fontId="25" fillId="0" borderId="15" xfId="0" applyFont="1" applyFill="1" applyBorder="1" applyAlignment="1">
      <alignment horizontal="center" vertical="top"/>
    </xf>
    <xf numFmtId="0" fontId="25" fillId="0" borderId="11" xfId="0" applyFont="1" applyFill="1" applyBorder="1" applyAlignment="1">
      <alignment vertical="top"/>
    </xf>
    <xf numFmtId="0" fontId="25" fillId="0" borderId="12" xfId="0" applyFont="1" applyBorder="1" applyAlignment="1">
      <alignment horizontal="center" vertical="top"/>
    </xf>
    <xf numFmtId="0" fontId="25" fillId="0" borderId="0" xfId="0" applyFont="1" applyBorder="1" applyAlignment="1">
      <alignment vertical="top"/>
    </xf>
    <xf numFmtId="0" fontId="25" fillId="0" borderId="0" xfId="0" applyFont="1" applyBorder="1" applyAlignment="1">
      <alignment horizontal="center" vertical="top"/>
    </xf>
    <xf numFmtId="2" fontId="25" fillId="0" borderId="0" xfId="0" applyNumberFormat="1" applyFont="1" applyBorder="1" applyAlignment="1">
      <alignment horizontal="center" vertical="top" wrapText="1"/>
    </xf>
    <xf numFmtId="165" fontId="25" fillId="0" borderId="0" xfId="0" applyNumberFormat="1" applyFont="1" applyBorder="1" applyAlignment="1">
      <alignment vertical="top"/>
    </xf>
    <xf numFmtId="0" fontId="29" fillId="0" borderId="0" xfId="0" applyFont="1" applyFill="1" applyBorder="1" applyAlignment="1">
      <alignment horizontal="center" vertical="top" wrapText="1"/>
    </xf>
    <xf numFmtId="0" fontId="30" fillId="25" borderId="0" xfId="0" applyFont="1" applyFill="1" applyBorder="1" applyAlignment="1">
      <alignment vertical="top"/>
    </xf>
    <xf numFmtId="0" fontId="25" fillId="24" borderId="16" xfId="0" applyFont="1" applyFill="1" applyBorder="1" applyAlignment="1" applyProtection="1">
      <alignment horizontal="center" vertical="top" wrapText="1"/>
    </xf>
    <xf numFmtId="2" fontId="25" fillId="0" borderId="0" xfId="0" applyNumberFormat="1" applyFont="1" applyBorder="1" applyAlignment="1">
      <alignment horizontal="left" vertical="top" wrapText="1"/>
    </xf>
    <xf numFmtId="2" fontId="25" fillId="0" borderId="16" xfId="0" applyNumberFormat="1" applyFont="1" applyFill="1" applyBorder="1" applyAlignment="1">
      <alignment horizontal="left" vertical="top" wrapText="1"/>
    </xf>
    <xf numFmtId="1" fontId="25" fillId="0" borderId="15" xfId="0" applyNumberFormat="1" applyFont="1" applyFill="1" applyBorder="1" applyAlignment="1">
      <alignment horizontal="center" vertical="top"/>
    </xf>
    <xf numFmtId="2" fontId="4" fillId="24" borderId="0" xfId="0" applyNumberFormat="1" applyFont="1" applyFill="1" applyBorder="1" applyAlignment="1">
      <alignment vertical="top"/>
    </xf>
    <xf numFmtId="0" fontId="25" fillId="24" borderId="0" xfId="0" applyFont="1" applyFill="1" applyBorder="1" applyAlignment="1">
      <alignment vertical="top"/>
    </xf>
    <xf numFmtId="2" fontId="25" fillId="24" borderId="0" xfId="0" applyNumberFormat="1" applyFont="1" applyFill="1" applyBorder="1" applyAlignment="1">
      <alignment horizontal="center" vertical="top"/>
    </xf>
    <xf numFmtId="0" fontId="30" fillId="24" borderId="20" xfId="0" applyFont="1" applyFill="1" applyBorder="1" applyAlignment="1">
      <alignment vertical="top"/>
    </xf>
    <xf numFmtId="1" fontId="25" fillId="0" borderId="0" xfId="0" applyNumberFormat="1" applyFont="1" applyBorder="1" applyAlignment="1">
      <alignment horizontal="center" vertical="top" wrapText="1"/>
    </xf>
    <xf numFmtId="0" fontId="25" fillId="24" borderId="23" xfId="0" applyFont="1" applyFill="1" applyBorder="1" applyAlignment="1">
      <alignment vertical="top"/>
    </xf>
    <xf numFmtId="0" fontId="25" fillId="26" borderId="17" xfId="0" applyFont="1" applyFill="1" applyBorder="1" applyAlignment="1">
      <alignment vertical="top"/>
    </xf>
    <xf numFmtId="9" fontId="25" fillId="0" borderId="15" xfId="0" applyNumberFormat="1" applyFont="1" applyFill="1" applyBorder="1" applyAlignment="1">
      <alignment horizontal="center" vertical="top"/>
    </xf>
    <xf numFmtId="0" fontId="25" fillId="0" borderId="10" xfId="0" applyFont="1" applyFill="1" applyBorder="1" applyAlignment="1">
      <alignment horizontal="center" vertical="top"/>
    </xf>
    <xf numFmtId="0" fontId="26" fillId="26" borderId="17" xfId="0" applyFont="1" applyFill="1" applyBorder="1" applyAlignment="1">
      <alignment vertical="top"/>
    </xf>
    <xf numFmtId="0" fontId="26" fillId="24" borderId="0" xfId="0" applyFont="1" applyFill="1" applyBorder="1" applyAlignment="1">
      <alignment horizontal="left" vertical="top"/>
    </xf>
    <xf numFmtId="14" fontId="25" fillId="24" borderId="0" xfId="0" applyNumberFormat="1" applyFont="1" applyFill="1" applyBorder="1" applyAlignment="1">
      <alignment horizontal="left" vertical="top"/>
    </xf>
    <xf numFmtId="1" fontId="25" fillId="26" borderId="17" xfId="0" applyNumberFormat="1" applyFont="1" applyFill="1" applyBorder="1" applyAlignment="1">
      <alignment horizontal="center" vertical="top"/>
    </xf>
    <xf numFmtId="1" fontId="25" fillId="0" borderId="10" xfId="0" applyNumberFormat="1" applyFont="1" applyFill="1" applyBorder="1" applyAlignment="1">
      <alignment horizontal="center" vertical="top"/>
    </xf>
    <xf numFmtId="0" fontId="25" fillId="24" borderId="15" xfId="0" applyFont="1" applyFill="1" applyBorder="1" applyAlignment="1" applyProtection="1">
      <alignment horizontal="center" vertical="top" wrapText="1"/>
    </xf>
    <xf numFmtId="41" fontId="25" fillId="24" borderId="10" xfId="0" applyNumberFormat="1" applyFont="1" applyFill="1" applyBorder="1" applyAlignment="1">
      <alignment horizontal="center" vertical="top"/>
    </xf>
    <xf numFmtId="0" fontId="25" fillId="24" borderId="10" xfId="0" applyFont="1" applyFill="1" applyBorder="1" applyAlignment="1">
      <alignment horizontal="center" vertical="top"/>
    </xf>
    <xf numFmtId="0" fontId="25" fillId="27" borderId="17" xfId="0" applyFont="1" applyFill="1" applyBorder="1" applyAlignment="1" applyProtection="1">
      <alignment horizontal="center" vertical="top"/>
    </xf>
    <xf numFmtId="1" fontId="25" fillId="27" borderId="17" xfId="0" applyNumberFormat="1" applyFont="1" applyFill="1" applyBorder="1" applyAlignment="1">
      <alignment horizontal="center" vertical="top"/>
    </xf>
    <xf numFmtId="9" fontId="25" fillId="27" borderId="17" xfId="0" applyNumberFormat="1" applyFont="1" applyFill="1" applyBorder="1" applyAlignment="1">
      <alignment horizontal="center" vertical="top"/>
    </xf>
    <xf numFmtId="41" fontId="25" fillId="27" borderId="17" xfId="0" applyNumberFormat="1" applyFont="1" applyFill="1" applyBorder="1" applyAlignment="1">
      <alignment horizontal="center" vertical="top"/>
    </xf>
    <xf numFmtId="0" fontId="25" fillId="27" borderId="17" xfId="0" applyFont="1" applyFill="1" applyBorder="1" applyAlignment="1">
      <alignment horizontal="center" vertical="top"/>
    </xf>
    <xf numFmtId="0" fontId="25" fillId="0" borderId="31" xfId="0" applyFont="1" applyFill="1" applyBorder="1" applyAlignment="1">
      <alignment horizontal="center" vertical="top"/>
    </xf>
    <xf numFmtId="1" fontId="25" fillId="24" borderId="15" xfId="0" applyNumberFormat="1" applyFont="1" applyFill="1" applyBorder="1" applyAlignment="1" applyProtection="1">
      <alignment horizontal="right" vertical="top"/>
    </xf>
    <xf numFmtId="0" fontId="25" fillId="0" borderId="29" xfId="0" applyFont="1" applyFill="1" applyBorder="1" applyAlignment="1" applyProtection="1">
      <alignment horizontal="center" vertical="top" wrapText="1"/>
    </xf>
    <xf numFmtId="0" fontId="25" fillId="0" borderId="15" xfId="0" applyFont="1" applyBorder="1" applyAlignment="1">
      <alignment vertical="top"/>
    </xf>
    <xf numFmtId="0" fontId="25" fillId="0" borderId="30" xfId="0" applyFont="1" applyFill="1" applyBorder="1" applyAlignment="1" applyProtection="1">
      <alignment horizontal="center" vertical="top" wrapText="1"/>
    </xf>
    <xf numFmtId="0" fontId="25" fillId="24" borderId="32" xfId="0" applyFont="1" applyFill="1" applyBorder="1" applyAlignment="1" applyProtection="1">
      <alignment horizontal="center" vertical="top" wrapText="1"/>
    </xf>
    <xf numFmtId="41" fontId="25" fillId="24" borderId="18" xfId="0" applyNumberFormat="1" applyFont="1" applyFill="1" applyBorder="1" applyAlignment="1">
      <alignment horizontal="center" vertical="top"/>
    </xf>
    <xf numFmtId="9" fontId="25" fillId="24" borderId="18" xfId="0" applyNumberFormat="1" applyFont="1" applyFill="1" applyBorder="1" applyAlignment="1">
      <alignment horizontal="center" vertical="top"/>
    </xf>
    <xf numFmtId="0" fontId="25" fillId="24" borderId="18" xfId="0" applyFont="1" applyFill="1" applyBorder="1" applyAlignment="1">
      <alignment horizontal="center" vertical="top"/>
    </xf>
    <xf numFmtId="166" fontId="26" fillId="0" borderId="19" xfId="55" applyNumberFormat="1" applyFont="1" applyFill="1" applyBorder="1" applyAlignment="1">
      <alignment horizontal="center" vertical="top"/>
    </xf>
    <xf numFmtId="2" fontId="25" fillId="24" borderId="10" xfId="0" applyNumberFormat="1" applyFont="1" applyFill="1" applyBorder="1" applyAlignment="1">
      <alignment horizontal="left" vertical="top" wrapText="1"/>
    </xf>
    <xf numFmtId="0" fontId="26" fillId="26" borderId="17" xfId="0" applyFont="1" applyFill="1" applyBorder="1" applyAlignment="1">
      <alignment horizontal="left" vertical="top"/>
    </xf>
    <xf numFmtId="0" fontId="26" fillId="27" borderId="17" xfId="0" applyFont="1" applyFill="1" applyBorder="1" applyAlignment="1" applyProtection="1">
      <alignment horizontal="right" vertical="top"/>
    </xf>
    <xf numFmtId="2" fontId="26" fillId="27" borderId="17" xfId="0" applyNumberFormat="1" applyFont="1" applyFill="1" applyBorder="1" applyAlignment="1">
      <alignment horizontal="left" vertical="top" wrapText="1"/>
    </xf>
    <xf numFmtId="2" fontId="26" fillId="24" borderId="27" xfId="0" applyNumberFormat="1" applyFont="1" applyFill="1" applyBorder="1" applyAlignment="1">
      <alignment vertical="top" wrapText="1"/>
    </xf>
    <xf numFmtId="2" fontId="26" fillId="0" borderId="10" xfId="0" applyNumberFormat="1" applyFont="1" applyFill="1" applyBorder="1" applyAlignment="1">
      <alignment horizontal="right" vertical="top" wrapText="1"/>
    </xf>
    <xf numFmtId="2" fontId="25" fillId="0" borderId="10" xfId="0" applyNumberFormat="1" applyFont="1" applyFill="1" applyBorder="1" applyAlignment="1">
      <alignment horizontal="left" vertical="top" wrapText="1"/>
    </xf>
    <xf numFmtId="2" fontId="26" fillId="24" borderId="26" xfId="0" applyNumberFormat="1" applyFont="1" applyFill="1" applyBorder="1" applyAlignment="1">
      <alignment horizontal="left" vertical="top"/>
    </xf>
    <xf numFmtId="0" fontId="25" fillId="24" borderId="20" xfId="0" applyFont="1" applyFill="1" applyBorder="1" applyAlignment="1">
      <alignment vertical="top"/>
    </xf>
    <xf numFmtId="166" fontId="26" fillId="24" borderId="19" xfId="55" applyNumberFormat="1" applyFont="1" applyFill="1" applyBorder="1" applyAlignment="1">
      <alignment horizontal="center" vertical="top"/>
    </xf>
    <xf numFmtId="1" fontId="25" fillId="24" borderId="10" xfId="0" applyNumberFormat="1" applyFont="1" applyFill="1" applyBorder="1" applyAlignment="1" applyProtection="1">
      <alignment horizontal="right" vertical="top"/>
    </xf>
    <xf numFmtId="0" fontId="25" fillId="26" borderId="26" xfId="0" applyFont="1" applyFill="1" applyBorder="1" applyAlignment="1">
      <alignment vertical="top" wrapText="1"/>
    </xf>
    <xf numFmtId="0" fontId="25" fillId="27" borderId="17" xfId="0" applyFont="1" applyFill="1" applyBorder="1" applyAlignment="1" applyProtection="1">
      <alignment horizontal="center" vertical="top" wrapText="1"/>
    </xf>
    <xf numFmtId="0" fontId="25" fillId="0" borderId="0" xfId="0" applyFont="1" applyBorder="1" applyAlignment="1">
      <alignment horizontal="center" vertical="top" wrapText="1"/>
    </xf>
    <xf numFmtId="0" fontId="25" fillId="26" borderId="27" xfId="0" applyFont="1" applyFill="1" applyBorder="1" applyAlignment="1">
      <alignment vertical="top"/>
    </xf>
    <xf numFmtId="166" fontId="25" fillId="0" borderId="33" xfId="55" applyNumberFormat="1" applyFont="1" applyFill="1" applyBorder="1" applyAlignment="1">
      <alignment horizontal="center" vertical="top"/>
    </xf>
    <xf numFmtId="166" fontId="25" fillId="24" borderId="34" xfId="0" applyNumberFormat="1" applyFont="1" applyFill="1" applyBorder="1" applyAlignment="1">
      <alignment horizontal="center" vertical="top"/>
    </xf>
    <xf numFmtId="166" fontId="26" fillId="24" borderId="20" xfId="55" applyNumberFormat="1" applyFont="1" applyFill="1" applyBorder="1" applyAlignment="1">
      <alignment horizontal="center" vertical="top"/>
    </xf>
    <xf numFmtId="0" fontId="25" fillId="0" borderId="22" xfId="0" applyFont="1" applyBorder="1" applyAlignment="1">
      <alignment vertical="top"/>
    </xf>
    <xf numFmtId="166" fontId="26" fillId="0" borderId="33" xfId="55" applyNumberFormat="1" applyFont="1" applyFill="1" applyBorder="1" applyAlignment="1">
      <alignment horizontal="center" vertical="top"/>
    </xf>
    <xf numFmtId="44" fontId="26" fillId="24" borderId="0" xfId="0" applyNumberFormat="1" applyFont="1" applyFill="1" applyBorder="1" applyAlignment="1">
      <alignment horizontal="left" vertical="top"/>
    </xf>
    <xf numFmtId="44" fontId="25" fillId="26" borderId="17" xfId="55" applyNumberFormat="1" applyFont="1" applyFill="1" applyBorder="1" applyAlignment="1">
      <alignment vertical="top"/>
    </xf>
    <xf numFmtId="44" fontId="25" fillId="0" borderId="15" xfId="56" applyNumberFormat="1" applyFont="1" applyFill="1" applyBorder="1" applyAlignment="1">
      <alignment horizontal="center" vertical="top"/>
    </xf>
    <xf numFmtId="44" fontId="25" fillId="0" borderId="15" xfId="0" applyNumberFormat="1" applyFont="1" applyBorder="1" applyAlignment="1">
      <alignment vertical="top"/>
    </xf>
    <xf numFmtId="44" fontId="25" fillId="24" borderId="18" xfId="0" applyNumberFormat="1" applyFont="1" applyFill="1" applyBorder="1" applyAlignment="1" applyProtection="1">
      <alignment horizontal="center" vertical="top"/>
    </xf>
    <xf numFmtId="44" fontId="25" fillId="0" borderId="10" xfId="0" applyNumberFormat="1" applyFont="1" applyFill="1" applyBorder="1" applyAlignment="1" applyProtection="1">
      <alignment horizontal="center" vertical="top"/>
    </xf>
    <xf numFmtId="44" fontId="25" fillId="27" borderId="17" xfId="0" applyNumberFormat="1" applyFont="1" applyFill="1" applyBorder="1" applyAlignment="1">
      <alignment horizontal="center" vertical="top"/>
    </xf>
    <xf numFmtId="44" fontId="25" fillId="0" borderId="0" xfId="56" applyNumberFormat="1" applyFont="1" applyBorder="1" applyAlignment="1">
      <alignment horizontal="center" vertical="top"/>
    </xf>
    <xf numFmtId="0" fontId="25" fillId="0" borderId="36" xfId="0" applyFont="1" applyBorder="1" applyAlignment="1">
      <alignment vertical="top"/>
    </xf>
    <xf numFmtId="166" fontId="25" fillId="0" borderId="37" xfId="0" applyNumberFormat="1" applyFont="1" applyFill="1" applyBorder="1" applyAlignment="1">
      <alignment horizontal="center" vertical="top"/>
    </xf>
    <xf numFmtId="166" fontId="25" fillId="27" borderId="27" xfId="55" applyNumberFormat="1" applyFont="1" applyFill="1" applyBorder="1" applyAlignment="1">
      <alignment horizontal="center" vertical="top"/>
    </xf>
    <xf numFmtId="0" fontId="25" fillId="0" borderId="20" xfId="0" applyFont="1" applyFill="1" applyBorder="1" applyAlignment="1">
      <alignment vertical="top"/>
    </xf>
    <xf numFmtId="166" fontId="25" fillId="24" borderId="21" xfId="0" applyNumberFormat="1" applyFont="1" applyFill="1" applyBorder="1" applyAlignment="1">
      <alignment horizontal="center" vertical="top"/>
    </xf>
    <xf numFmtId="2" fontId="38" fillId="24" borderId="12" xfId="0" applyNumberFormat="1" applyFont="1" applyFill="1" applyBorder="1" applyAlignment="1">
      <alignment horizontal="left" vertical="top"/>
    </xf>
    <xf numFmtId="0" fontId="39" fillId="24" borderId="23" xfId="0" applyFont="1" applyFill="1" applyBorder="1" applyAlignment="1">
      <alignment horizontal="center" vertical="top" wrapText="1"/>
    </xf>
    <xf numFmtId="0" fontId="38" fillId="24" borderId="12" xfId="0" applyFont="1" applyFill="1" applyBorder="1" applyAlignment="1">
      <alignment horizontal="left" vertical="top"/>
    </xf>
    <xf numFmtId="0" fontId="39" fillId="24" borderId="12" xfId="0" applyFont="1" applyFill="1" applyBorder="1" applyAlignment="1">
      <alignment horizontal="left" vertical="top"/>
    </xf>
    <xf numFmtId="14" fontId="39" fillId="24" borderId="12" xfId="0" applyNumberFormat="1" applyFont="1" applyFill="1" applyBorder="1" applyAlignment="1">
      <alignment horizontal="left" vertical="top"/>
    </xf>
    <xf numFmtId="44" fontId="25" fillId="24" borderId="10" xfId="55" applyNumberFormat="1" applyFont="1" applyFill="1" applyBorder="1" applyAlignment="1">
      <alignment horizontal="center" vertical="top"/>
    </xf>
    <xf numFmtId="44" fontId="29" fillId="30" borderId="17" xfId="56" applyNumberFormat="1" applyFont="1" applyFill="1" applyBorder="1" applyAlignment="1">
      <alignment horizontal="center" vertical="top"/>
    </xf>
    <xf numFmtId="1" fontId="26" fillId="0" borderId="39" xfId="0" applyNumberFormat="1" applyFont="1" applyFill="1" applyBorder="1" applyAlignment="1">
      <alignment horizontal="left" vertical="top"/>
    </xf>
    <xf numFmtId="0" fontId="29" fillId="30" borderId="14" xfId="0" applyFont="1" applyFill="1" applyBorder="1" applyAlignment="1">
      <alignment horizontal="center" vertical="top" wrapText="1"/>
    </xf>
    <xf numFmtId="0" fontId="29" fillId="30" borderId="14" xfId="0" applyFont="1" applyFill="1" applyBorder="1" applyAlignment="1">
      <alignment horizontal="center" vertical="top"/>
    </xf>
    <xf numFmtId="2" fontId="29" fillId="30" borderId="14" xfId="0" applyNumberFormat="1" applyFont="1" applyFill="1" applyBorder="1" applyAlignment="1">
      <alignment horizontal="left" vertical="top" wrapText="1"/>
    </xf>
    <xf numFmtId="1" fontId="29" fillId="30" borderId="14" xfId="0" applyNumberFormat="1" applyFont="1" applyFill="1" applyBorder="1" applyAlignment="1">
      <alignment horizontal="center" vertical="top"/>
    </xf>
    <xf numFmtId="2" fontId="29" fillId="30" borderId="14" xfId="0" applyNumberFormat="1" applyFont="1" applyFill="1" applyBorder="1" applyAlignment="1">
      <alignment horizontal="center" vertical="top" wrapText="1"/>
    </xf>
    <xf numFmtId="2" fontId="31" fillId="30" borderId="14" xfId="54" applyNumberFormat="1" applyFont="1" applyFill="1" applyBorder="1" applyAlignment="1">
      <alignment horizontal="left" vertical="top"/>
    </xf>
    <xf numFmtId="166" fontId="27" fillId="30" borderId="27" xfId="0" applyNumberFormat="1" applyFont="1" applyFill="1" applyBorder="1" applyAlignment="1">
      <alignment horizontal="left" vertical="top"/>
    </xf>
    <xf numFmtId="167" fontId="27" fillId="30" borderId="27" xfId="0" applyNumberFormat="1" applyFont="1" applyFill="1" applyBorder="1" applyAlignment="1" applyProtection="1">
      <alignment horizontal="center" vertical="top"/>
    </xf>
    <xf numFmtId="0" fontId="38" fillId="24" borderId="12" xfId="0" applyFont="1" applyFill="1" applyBorder="1" applyAlignment="1" applyProtection="1">
      <alignment horizontal="left" vertical="top"/>
    </xf>
    <xf numFmtId="0" fontId="39" fillId="24" borderId="23" xfId="0" applyFont="1" applyFill="1" applyBorder="1" applyAlignment="1" applyProtection="1">
      <alignment horizontal="center" vertical="top" wrapText="1"/>
    </xf>
    <xf numFmtId="166" fontId="38" fillId="24" borderId="12" xfId="55" applyNumberFormat="1" applyFont="1" applyFill="1" applyBorder="1" applyAlignment="1" applyProtection="1">
      <alignment horizontal="left" vertical="top"/>
    </xf>
    <xf numFmtId="166" fontId="26" fillId="24" borderId="0" xfId="55" applyNumberFormat="1" applyFont="1" applyFill="1" applyBorder="1" applyAlignment="1" applyProtection="1">
      <alignment horizontal="left" vertical="top"/>
    </xf>
    <xf numFmtId="2" fontId="37" fillId="30" borderId="26" xfId="0" applyNumberFormat="1" applyFont="1" applyFill="1" applyBorder="1" applyAlignment="1">
      <alignment horizontal="left" vertical="top"/>
    </xf>
    <xf numFmtId="2" fontId="29" fillId="30" borderId="17" xfId="0" applyNumberFormat="1" applyFont="1" applyFill="1" applyBorder="1" applyAlignment="1">
      <alignment horizontal="center" vertical="top"/>
    </xf>
    <xf numFmtId="2" fontId="37" fillId="30" borderId="17" xfId="0" applyNumberFormat="1" applyFont="1" applyFill="1" applyBorder="1" applyAlignment="1">
      <alignment horizontal="left" vertical="top" wrapText="1"/>
    </xf>
    <xf numFmtId="2" fontId="37" fillId="30" borderId="17" xfId="0" applyNumberFormat="1" applyFont="1" applyFill="1" applyBorder="1" applyAlignment="1">
      <alignment horizontal="left" vertical="top"/>
    </xf>
    <xf numFmtId="2" fontId="32" fillId="30" borderId="17" xfId="0" applyNumberFormat="1" applyFont="1" applyFill="1" applyBorder="1" applyAlignment="1">
      <alignment horizontal="left" vertical="top"/>
    </xf>
    <xf numFmtId="2" fontId="32" fillId="30" borderId="17" xfId="0" applyNumberFormat="1" applyFont="1" applyFill="1" applyBorder="1" applyAlignment="1">
      <alignment horizontal="center" vertical="top"/>
    </xf>
    <xf numFmtId="2" fontId="37" fillId="30" borderId="27" xfId="0" applyNumberFormat="1" applyFont="1" applyFill="1" applyBorder="1" applyAlignment="1">
      <alignment horizontal="right" vertical="top"/>
    </xf>
    <xf numFmtId="2" fontId="36" fillId="24" borderId="0" xfId="0" applyNumberFormat="1" applyFont="1" applyFill="1" applyBorder="1" applyAlignment="1">
      <alignment vertical="top"/>
    </xf>
    <xf numFmtId="0" fontId="25" fillId="0" borderId="25" xfId="45" applyFont="1" applyFill="1" applyBorder="1" applyAlignment="1" applyProtection="1">
      <alignment horizontal="center" vertical="top"/>
    </xf>
    <xf numFmtId="168" fontId="25" fillId="0" borderId="10" xfId="0" applyNumberFormat="1" applyFont="1" applyFill="1" applyBorder="1" applyAlignment="1" applyProtection="1">
      <alignment horizontal="center" vertical="top"/>
    </xf>
    <xf numFmtId="0" fontId="25" fillId="24" borderId="0" xfId="0" applyNumberFormat="1" applyFont="1" applyFill="1" applyBorder="1" applyAlignment="1">
      <alignment vertical="top"/>
    </xf>
    <xf numFmtId="0" fontId="26" fillId="26" borderId="26" xfId="45" applyFont="1" applyFill="1" applyBorder="1" applyAlignment="1">
      <alignment vertical="top"/>
    </xf>
    <xf numFmtId="0" fontId="26" fillId="26" borderId="17" xfId="45" applyFont="1" applyFill="1" applyBorder="1" applyAlignment="1">
      <alignment horizontal="center" vertical="center"/>
    </xf>
    <xf numFmtId="0" fontId="26" fillId="26" borderId="17" xfId="45" applyFont="1" applyFill="1" applyBorder="1" applyAlignment="1">
      <alignment horizontal="left" vertical="top"/>
    </xf>
    <xf numFmtId="1" fontId="25" fillId="26" borderId="17" xfId="45" applyNumberFormat="1" applyFont="1" applyFill="1" applyBorder="1" applyAlignment="1">
      <alignment horizontal="center" vertical="top"/>
    </xf>
    <xf numFmtId="0" fontId="25" fillId="26" borderId="17" xfId="45" applyFont="1" applyFill="1" applyBorder="1" applyAlignment="1">
      <alignment vertical="top"/>
    </xf>
    <xf numFmtId="0" fontId="25" fillId="26" borderId="27" xfId="45" applyFont="1" applyFill="1" applyBorder="1" applyAlignment="1">
      <alignment vertical="top"/>
    </xf>
    <xf numFmtId="167" fontId="26" fillId="24" borderId="20" xfId="45" applyNumberFormat="1" applyFont="1" applyFill="1" applyBorder="1" applyAlignment="1" applyProtection="1">
      <alignment horizontal="center" vertical="top"/>
    </xf>
    <xf numFmtId="0" fontId="30" fillId="25" borderId="0" xfId="45" applyFont="1" applyFill="1" applyBorder="1" applyAlignment="1">
      <alignment vertical="top"/>
    </xf>
    <xf numFmtId="0" fontId="25" fillId="24" borderId="10" xfId="45" applyFont="1" applyFill="1" applyBorder="1" applyAlignment="1" applyProtection="1">
      <alignment horizontal="center" vertical="top" wrapText="1"/>
    </xf>
    <xf numFmtId="0" fontId="25" fillId="24" borderId="15" xfId="45" applyFont="1" applyFill="1" applyBorder="1" applyAlignment="1">
      <alignment horizontal="center" vertical="top" wrapText="1"/>
    </xf>
    <xf numFmtId="1" fontId="40" fillId="0" borderId="10" xfId="45" applyNumberFormat="1" applyFont="1" applyBorder="1" applyAlignment="1">
      <alignment horizontal="right" vertical="top"/>
    </xf>
    <xf numFmtId="2" fontId="25" fillId="0" borderId="15" xfId="45" applyNumberFormat="1" applyFont="1" applyBorder="1" applyAlignment="1">
      <alignment horizontal="left" vertical="top" wrapText="1"/>
    </xf>
    <xf numFmtId="1" fontId="25" fillId="0" borderId="15" xfId="45" applyNumberFormat="1" applyFont="1" applyBorder="1" applyAlignment="1">
      <alignment horizontal="center" vertical="top"/>
    </xf>
    <xf numFmtId="9" fontId="25" fillId="24" borderId="10" xfId="58" applyFont="1" applyFill="1" applyBorder="1" applyAlignment="1" applyProtection="1">
      <alignment horizontal="center" vertical="top"/>
    </xf>
    <xf numFmtId="41" fontId="25" fillId="0" borderId="10" xfId="45" applyNumberFormat="1" applyFont="1" applyBorder="1" applyAlignment="1">
      <alignment horizontal="center" vertical="top"/>
    </xf>
    <xf numFmtId="0" fontId="25" fillId="0" borderId="10" xfId="45" applyFont="1" applyBorder="1" applyAlignment="1">
      <alignment horizontal="center" vertical="top"/>
    </xf>
    <xf numFmtId="168" fontId="25" fillId="28" borderId="15" xfId="45" applyNumberFormat="1" applyFont="1" applyFill="1" applyBorder="1" applyAlignment="1">
      <alignment horizontal="center" vertical="top"/>
    </xf>
    <xf numFmtId="166" fontId="25" fillId="0" borderId="22" xfId="55" applyNumberFormat="1" applyFont="1" applyFill="1" applyBorder="1" applyAlignment="1">
      <alignment horizontal="center" vertical="top"/>
    </xf>
    <xf numFmtId="44" fontId="41" fillId="24" borderId="23" xfId="45" applyNumberFormat="1" applyFont="1" applyFill="1" applyBorder="1" applyAlignment="1">
      <alignment vertical="top"/>
    </xf>
    <xf numFmtId="0" fontId="41" fillId="0" borderId="0" xfId="45" applyFont="1" applyAlignment="1">
      <alignment vertical="top"/>
    </xf>
    <xf numFmtId="168" fontId="25" fillId="24" borderId="15" xfId="45" applyNumberFormat="1" applyFont="1" applyFill="1" applyBorder="1" applyAlignment="1">
      <alignment horizontal="center" vertical="top"/>
    </xf>
    <xf numFmtId="168" fontId="25" fillId="24" borderId="18" xfId="0" applyNumberFormat="1" applyFont="1" applyFill="1" applyBorder="1" applyAlignment="1" applyProtection="1">
      <alignment horizontal="center" vertical="top"/>
    </xf>
    <xf numFmtId="166" fontId="26" fillId="24" borderId="27" xfId="55" applyNumberFormat="1" applyFont="1" applyFill="1" applyBorder="1" applyAlignment="1">
      <alignment horizontal="center" vertical="top"/>
    </xf>
    <xf numFmtId="1" fontId="40" fillId="24" borderId="15" xfId="45" applyNumberFormat="1" applyFont="1" applyFill="1" applyBorder="1" applyAlignment="1">
      <alignment horizontal="right" vertical="top"/>
    </xf>
    <xf numFmtId="2" fontId="25" fillId="24" borderId="15" xfId="45" applyNumberFormat="1" applyFont="1" applyFill="1" applyBorder="1" applyAlignment="1">
      <alignment horizontal="left" vertical="top" wrapText="1"/>
    </xf>
    <xf numFmtId="1" fontId="25" fillId="24" borderId="15" xfId="45" applyNumberFormat="1" applyFont="1" applyFill="1" applyBorder="1" applyAlignment="1">
      <alignment horizontal="center" vertical="top"/>
    </xf>
    <xf numFmtId="41" fontId="25" fillId="24" borderId="10" xfId="45" applyNumberFormat="1" applyFont="1" applyFill="1" applyBorder="1" applyAlignment="1">
      <alignment horizontal="center" vertical="top"/>
    </xf>
    <xf numFmtId="0" fontId="25" fillId="24" borderId="10" xfId="45" applyFont="1" applyFill="1" applyBorder="1" applyAlignment="1">
      <alignment horizontal="center" vertical="top"/>
    </xf>
    <xf numFmtId="166" fontId="25" fillId="24" borderId="22" xfId="55" applyNumberFormat="1" applyFont="1" applyFill="1" applyBorder="1" applyAlignment="1">
      <alignment horizontal="center" vertical="top"/>
    </xf>
    <xf numFmtId="0" fontId="41" fillId="24" borderId="0" xfId="45" applyFont="1" applyFill="1" applyAlignment="1">
      <alignment vertical="top"/>
    </xf>
    <xf numFmtId="1" fontId="40" fillId="0" borderId="15" xfId="45" applyNumberFormat="1" applyFont="1" applyBorder="1" applyAlignment="1">
      <alignment horizontal="right" vertical="top"/>
    </xf>
    <xf numFmtId="0" fontId="42" fillId="0" borderId="0" xfId="45" applyFont="1" applyAlignment="1">
      <alignment vertical="top"/>
    </xf>
    <xf numFmtId="1" fontId="40" fillId="24" borderId="10" xfId="45" applyNumberFormat="1" applyFont="1" applyFill="1" applyBorder="1" applyAlignment="1">
      <alignment horizontal="right" vertical="top"/>
    </xf>
    <xf numFmtId="0" fontId="42" fillId="24" borderId="0" xfId="45" applyFont="1" applyFill="1" applyAlignment="1">
      <alignment vertical="top"/>
    </xf>
    <xf numFmtId="0" fontId="25" fillId="0" borderId="36" xfId="45" applyFont="1" applyFill="1" applyBorder="1" applyAlignment="1" applyProtection="1">
      <alignment horizontal="center" vertical="top"/>
    </xf>
    <xf numFmtId="0" fontId="25" fillId="24" borderId="40" xfId="45" applyFont="1" applyFill="1" applyBorder="1" applyAlignment="1" applyProtection="1">
      <alignment horizontal="center" vertical="top" wrapText="1"/>
    </xf>
    <xf numFmtId="0" fontId="25" fillId="25" borderId="0" xfId="45" applyFont="1" applyFill="1" applyBorder="1" applyAlignment="1">
      <alignment vertical="top"/>
    </xf>
    <xf numFmtId="0" fontId="43" fillId="0" borderId="0" xfId="0" applyFont="1" applyFill="1" applyBorder="1" applyAlignment="1">
      <alignment vertical="top"/>
    </xf>
    <xf numFmtId="0" fontId="43" fillId="25" borderId="0" xfId="45" applyFont="1" applyFill="1" applyBorder="1" applyAlignment="1">
      <alignment vertical="top"/>
    </xf>
    <xf numFmtId="0" fontId="44" fillId="0" borderId="0" xfId="45" applyFont="1" applyAlignment="1">
      <alignment vertical="top"/>
    </xf>
    <xf numFmtId="0" fontId="44" fillId="24" borderId="0" xfId="45" applyFont="1" applyFill="1" applyAlignment="1">
      <alignment vertical="top"/>
    </xf>
    <xf numFmtId="0" fontId="43" fillId="24" borderId="0" xfId="0" applyNumberFormat="1" applyFont="1" applyFill="1" applyBorder="1" applyAlignment="1">
      <alignment vertical="top"/>
    </xf>
    <xf numFmtId="0" fontId="43" fillId="25" borderId="0" xfId="0" applyFont="1" applyFill="1" applyBorder="1" applyAlignment="1">
      <alignment vertical="top"/>
    </xf>
    <xf numFmtId="0" fontId="43" fillId="0" borderId="0" xfId="0" applyFont="1" applyBorder="1" applyAlignment="1">
      <alignment vertical="top"/>
    </xf>
    <xf numFmtId="164" fontId="43" fillId="24" borderId="0" xfId="0" applyNumberFormat="1" applyFont="1" applyFill="1" applyBorder="1" applyAlignment="1">
      <alignment vertical="top"/>
    </xf>
    <xf numFmtId="167" fontId="25" fillId="28" borderId="15" xfId="45" applyNumberFormat="1" applyFont="1" applyFill="1" applyBorder="1" applyAlignment="1">
      <alignment horizontal="center" vertical="top"/>
    </xf>
    <xf numFmtId="0" fontId="38" fillId="24" borderId="12" xfId="45" applyFont="1" applyFill="1" applyBorder="1" applyAlignment="1">
      <alignment horizontal="left" vertical="top"/>
    </xf>
    <xf numFmtId="0" fontId="38" fillId="24" borderId="0" xfId="45" applyFont="1" applyFill="1" applyBorder="1" applyAlignment="1">
      <alignment horizontal="left" vertical="top"/>
    </xf>
    <xf numFmtId="0" fontId="38" fillId="24" borderId="23" xfId="45" applyFont="1" applyFill="1" applyBorder="1" applyAlignment="1">
      <alignment horizontal="left" vertical="top"/>
    </xf>
    <xf numFmtId="0" fontId="39" fillId="0" borderId="0" xfId="45" applyFont="1"/>
    <xf numFmtId="2" fontId="37" fillId="30" borderId="38" xfId="45" applyNumberFormat="1" applyFont="1" applyFill="1" applyBorder="1" applyAlignment="1">
      <alignment horizontal="left" vertical="top"/>
    </xf>
    <xf numFmtId="2" fontId="37" fillId="30" borderId="11" xfId="45" applyNumberFormat="1" applyFont="1" applyFill="1" applyBorder="1" applyAlignment="1">
      <alignment vertical="top"/>
    </xf>
    <xf numFmtId="0" fontId="37" fillId="30" borderId="11" xfId="45" applyFont="1" applyFill="1" applyBorder="1" applyAlignment="1">
      <alignment vertical="top"/>
    </xf>
    <xf numFmtId="14" fontId="46" fillId="30" borderId="41" xfId="45" applyNumberFormat="1" applyFont="1" applyFill="1" applyBorder="1" applyAlignment="1">
      <alignment vertical="top"/>
    </xf>
    <xf numFmtId="14" fontId="39" fillId="24" borderId="0" xfId="45" applyNumberFormat="1" applyFont="1" applyFill="1" applyBorder="1" applyAlignment="1">
      <alignment horizontal="left" vertical="top"/>
    </xf>
    <xf numFmtId="14" fontId="39" fillId="24" borderId="12" xfId="45" applyNumberFormat="1" applyFont="1" applyFill="1" applyBorder="1" applyAlignment="1">
      <alignment horizontal="left" vertical="top"/>
    </xf>
    <xf numFmtId="2" fontId="37" fillId="30" borderId="13" xfId="45" applyNumberFormat="1" applyFont="1" applyFill="1" applyBorder="1" applyAlignment="1">
      <alignment horizontal="left" vertical="top"/>
    </xf>
    <xf numFmtId="0" fontId="37" fillId="30" borderId="14" xfId="45" applyFont="1" applyFill="1" applyBorder="1" applyAlignment="1">
      <alignment vertical="top"/>
    </xf>
    <xf numFmtId="0" fontId="46" fillId="30" borderId="24" xfId="45" applyFont="1" applyFill="1" applyBorder="1" applyAlignment="1">
      <alignment horizontal="left"/>
    </xf>
    <xf numFmtId="14" fontId="39" fillId="24" borderId="23" xfId="45" applyNumberFormat="1" applyFont="1" applyFill="1" applyBorder="1" applyAlignment="1">
      <alignment horizontal="left" vertical="top"/>
    </xf>
    <xf numFmtId="49" fontId="39" fillId="0" borderId="12" xfId="45" applyNumberFormat="1" applyFont="1" applyBorder="1" applyAlignment="1">
      <alignment horizontal="center" vertical="top" wrapText="1"/>
    </xf>
    <xf numFmtId="0" fontId="38" fillId="0" borderId="0" xfId="45" applyFont="1" applyBorder="1" applyAlignment="1">
      <alignment horizontal="left" vertical="top" wrapText="1"/>
    </xf>
    <xf numFmtId="0" fontId="38" fillId="0" borderId="0" xfId="45" applyFont="1" applyBorder="1" applyAlignment="1">
      <alignment vertical="top" wrapText="1"/>
    </xf>
    <xf numFmtId="167" fontId="38" fillId="24" borderId="23" xfId="45" applyNumberFormat="1" applyFont="1" applyFill="1" applyBorder="1" applyAlignment="1" applyProtection="1">
      <alignment horizontal="left" vertical="top"/>
    </xf>
    <xf numFmtId="0" fontId="37" fillId="30" borderId="26" xfId="45" applyFont="1" applyFill="1" applyBorder="1" applyAlignment="1">
      <alignment vertical="top"/>
    </xf>
    <xf numFmtId="0" fontId="37" fillId="30" borderId="17" xfId="45" applyFont="1" applyFill="1" applyBorder="1" applyAlignment="1">
      <alignment vertical="top" wrapText="1"/>
    </xf>
    <xf numFmtId="165" fontId="37" fillId="30" borderId="27" xfId="45" applyNumberFormat="1" applyFont="1" applyFill="1" applyBorder="1" applyAlignment="1">
      <alignment vertical="top"/>
    </xf>
    <xf numFmtId="0" fontId="37" fillId="30" borderId="13" xfId="45" applyFont="1" applyFill="1" applyBorder="1" applyAlignment="1">
      <alignment vertical="top"/>
    </xf>
    <xf numFmtId="0" fontId="37" fillId="30" borderId="14" xfId="45" applyFont="1" applyFill="1" applyBorder="1" applyAlignment="1">
      <alignment vertical="top" wrapText="1"/>
    </xf>
    <xf numFmtId="165" fontId="37" fillId="30" borderId="24" xfId="45" applyNumberFormat="1" applyFont="1" applyFill="1" applyBorder="1" applyAlignment="1">
      <alignment vertical="top"/>
    </xf>
    <xf numFmtId="2" fontId="26" fillId="24" borderId="11" xfId="45" applyNumberFormat="1" applyFont="1" applyFill="1" applyBorder="1" applyAlignment="1">
      <alignment horizontal="left" vertical="top"/>
    </xf>
    <xf numFmtId="2" fontId="26" fillId="24" borderId="0" xfId="45" applyNumberFormat="1" applyFont="1" applyFill="1" applyBorder="1" applyAlignment="1">
      <alignment horizontal="left" vertical="top"/>
    </xf>
    <xf numFmtId="2" fontId="4" fillId="24" borderId="11" xfId="45" applyNumberFormat="1" applyFont="1" applyFill="1" applyBorder="1" applyAlignment="1">
      <alignment vertical="top"/>
    </xf>
    <xf numFmtId="0" fontId="25" fillId="0" borderId="0" xfId="45" applyFont="1" applyFill="1" applyBorder="1" applyAlignment="1">
      <alignment vertical="top"/>
    </xf>
    <xf numFmtId="14" fontId="36" fillId="24" borderId="23" xfId="45" applyNumberFormat="1" applyFont="1" applyFill="1" applyBorder="1" applyAlignment="1">
      <alignment horizontal="left" vertical="top"/>
    </xf>
    <xf numFmtId="2" fontId="26" fillId="24" borderId="14" xfId="45" applyNumberFormat="1" applyFont="1" applyFill="1" applyBorder="1" applyAlignment="1">
      <alignment horizontal="left" vertical="top"/>
    </xf>
    <xf numFmtId="2" fontId="28" fillId="24" borderId="14" xfId="54" applyNumberFormat="1" applyFill="1" applyBorder="1" applyAlignment="1">
      <alignment horizontal="center" vertical="top"/>
    </xf>
    <xf numFmtId="2" fontId="28" fillId="24" borderId="24" xfId="54" applyNumberFormat="1" applyFill="1" applyBorder="1" applyAlignment="1">
      <alignment horizontal="center" vertical="top"/>
    </xf>
    <xf numFmtId="0" fontId="38" fillId="24" borderId="38" xfId="45" applyFont="1" applyFill="1" applyBorder="1" applyAlignment="1">
      <alignment horizontal="left" vertical="top"/>
    </xf>
    <xf numFmtId="0" fontId="38" fillId="24" borderId="11" xfId="45" applyFont="1" applyFill="1" applyBorder="1" applyAlignment="1">
      <alignment horizontal="left" vertical="top"/>
    </xf>
    <xf numFmtId="2" fontId="45" fillId="24" borderId="11" xfId="45" applyNumberFormat="1" applyFont="1" applyFill="1" applyBorder="1" applyAlignment="1">
      <alignment horizontal="right" vertical="top"/>
    </xf>
    <xf numFmtId="0" fontId="38" fillId="24" borderId="41" xfId="45" applyFont="1" applyFill="1" applyBorder="1" applyAlignment="1">
      <alignment horizontal="left" vertical="top"/>
    </xf>
    <xf numFmtId="2" fontId="34" fillId="0" borderId="10" xfId="0" applyNumberFormat="1" applyFont="1" applyFill="1" applyBorder="1" applyAlignment="1">
      <alignment horizontal="left" vertical="top" wrapText="1"/>
    </xf>
    <xf numFmtId="41" fontId="25" fillId="0" borderId="31" xfId="0" applyNumberFormat="1" applyFont="1" applyFill="1" applyBorder="1" applyAlignment="1">
      <alignment horizontal="center" vertical="top"/>
    </xf>
    <xf numFmtId="166" fontId="25" fillId="0" borderId="35" xfId="55" applyNumberFormat="1" applyFont="1" applyFill="1" applyBorder="1" applyAlignment="1">
      <alignment horizontal="center" vertical="top"/>
    </xf>
    <xf numFmtId="44" fontId="25" fillId="0" borderId="31" xfId="0" applyNumberFormat="1" applyFont="1" applyFill="1" applyBorder="1" applyAlignment="1" applyProtection="1">
      <alignment horizontal="center" vertical="top"/>
    </xf>
    <xf numFmtId="0" fontId="25" fillId="24" borderId="42" xfId="0" applyFont="1" applyFill="1" applyBorder="1" applyAlignment="1" applyProtection="1">
      <alignment horizontal="center" vertical="top" wrapText="1"/>
    </xf>
    <xf numFmtId="1" fontId="25" fillId="0" borderId="15" xfId="0" applyNumberFormat="1" applyFont="1" applyFill="1" applyBorder="1" applyAlignment="1" applyProtection="1">
      <alignment horizontal="right" vertical="top"/>
    </xf>
    <xf numFmtId="2" fontId="26" fillId="32" borderId="15" xfId="0" applyNumberFormat="1" applyFont="1" applyFill="1" applyBorder="1" applyAlignment="1">
      <alignment horizontal="center" vertical="top" wrapText="1"/>
    </xf>
    <xf numFmtId="1" fontId="25" fillId="24" borderId="30" xfId="0" applyNumberFormat="1" applyFont="1" applyFill="1" applyBorder="1" applyAlignment="1" applyProtection="1">
      <alignment horizontal="center" vertical="top"/>
    </xf>
    <xf numFmtId="44" fontId="25" fillId="24" borderId="16" xfId="55" applyNumberFormat="1" applyFont="1" applyFill="1" applyBorder="1" applyAlignment="1" applyProtection="1">
      <alignment horizontal="center" vertical="top"/>
    </xf>
    <xf numFmtId="166" fontId="25" fillId="0" borderId="33" xfId="45" applyNumberFormat="1" applyFont="1" applyFill="1" applyBorder="1" applyAlignment="1">
      <alignment horizontal="center" vertical="top"/>
    </xf>
    <xf numFmtId="167" fontId="26" fillId="24" borderId="23" xfId="45" applyNumberFormat="1" applyFont="1" applyFill="1" applyBorder="1" applyAlignment="1" applyProtection="1">
      <alignment horizontal="center" vertical="top"/>
    </xf>
    <xf numFmtId="0" fontId="25" fillId="24" borderId="28" xfId="0" applyFont="1" applyFill="1" applyBorder="1" applyAlignment="1" applyProtection="1">
      <alignment horizontal="center" vertical="top" wrapText="1"/>
    </xf>
    <xf numFmtId="2" fontId="34" fillId="24" borderId="15" xfId="0" applyNumberFormat="1" applyFont="1" applyFill="1" applyBorder="1" applyAlignment="1">
      <alignment horizontal="left" vertical="top" wrapText="1"/>
    </xf>
    <xf numFmtId="41" fontId="25" fillId="0" borderId="15" xfId="0" applyNumberFormat="1" applyFont="1" applyFill="1" applyBorder="1" applyAlignment="1">
      <alignment horizontal="center" vertical="top"/>
    </xf>
    <xf numFmtId="44" fontId="25" fillId="24" borderId="30" xfId="55" applyNumberFormat="1" applyFont="1" applyFill="1" applyBorder="1" applyAlignment="1" applyProtection="1">
      <alignment horizontal="center" vertical="top"/>
    </xf>
    <xf numFmtId="166" fontId="25" fillId="0" borderId="22" xfId="45" applyNumberFormat="1" applyFont="1" applyFill="1" applyBorder="1" applyAlignment="1">
      <alignment horizontal="center" vertical="top"/>
    </xf>
    <xf numFmtId="1" fontId="25" fillId="0" borderId="10" xfId="0" applyNumberFormat="1" applyFont="1" applyFill="1" applyBorder="1" applyAlignment="1" applyProtection="1">
      <alignment horizontal="center" vertical="top"/>
    </xf>
    <xf numFmtId="2" fontId="25" fillId="0" borderId="15" xfId="0" applyNumberFormat="1" applyFont="1" applyFill="1" applyBorder="1" applyAlignment="1">
      <alignment horizontal="left" vertical="top" wrapText="1"/>
    </xf>
    <xf numFmtId="1" fontId="25" fillId="0" borderId="10" xfId="0" applyNumberFormat="1" applyFont="1" applyFill="1" applyBorder="1" applyAlignment="1" applyProtection="1">
      <alignment horizontal="right" vertical="top"/>
    </xf>
    <xf numFmtId="2" fontId="25" fillId="0" borderId="10" xfId="0" applyNumberFormat="1" applyFont="1" applyFill="1" applyBorder="1" applyAlignment="1">
      <alignment horizontal="right" vertical="top" wrapText="1"/>
    </xf>
    <xf numFmtId="1" fontId="25" fillId="0" borderId="10" xfId="0" applyNumberFormat="1" applyFont="1" applyFill="1" applyBorder="1" applyAlignment="1">
      <alignment vertical="top"/>
    </xf>
    <xf numFmtId="9" fontId="25" fillId="24" borderId="10" xfId="0" applyNumberFormat="1" applyFont="1" applyFill="1" applyBorder="1" applyAlignment="1">
      <alignment vertical="top"/>
    </xf>
    <xf numFmtId="169" fontId="25" fillId="24" borderId="10" xfId="0" applyNumberFormat="1" applyFont="1" applyFill="1" applyBorder="1" applyAlignment="1">
      <alignment horizontal="center" vertical="top"/>
    </xf>
    <xf numFmtId="0" fontId="25" fillId="24" borderId="30" xfId="0" applyFont="1" applyFill="1" applyBorder="1" applyAlignment="1" applyProtection="1">
      <alignment horizontal="center" vertical="top" wrapText="1"/>
    </xf>
    <xf numFmtId="0" fontId="25" fillId="33" borderId="26" xfId="0" applyFont="1" applyFill="1" applyBorder="1" applyAlignment="1" applyProtection="1">
      <alignment horizontal="center" vertical="top" wrapText="1"/>
    </xf>
    <xf numFmtId="2" fontId="26" fillId="33" borderId="17" xfId="0" applyNumberFormat="1" applyFont="1" applyFill="1" applyBorder="1" applyAlignment="1">
      <alignment horizontal="left" vertical="top" wrapText="1"/>
    </xf>
    <xf numFmtId="1" fontId="25" fillId="33" borderId="27" xfId="0" applyNumberFormat="1" applyFont="1" applyFill="1" applyBorder="1" applyAlignment="1">
      <alignment horizontal="center" vertical="top"/>
    </xf>
    <xf numFmtId="9" fontId="25" fillId="0" borderId="28" xfId="0" applyNumberFormat="1" applyFont="1" applyFill="1" applyBorder="1" applyAlignment="1">
      <alignment horizontal="center" vertical="top"/>
    </xf>
    <xf numFmtId="41" fontId="25" fillId="0" borderId="43" xfId="0" applyNumberFormat="1" applyFont="1" applyFill="1" applyBorder="1" applyAlignment="1">
      <alignment horizontal="center" vertical="top"/>
    </xf>
    <xf numFmtId="0" fontId="25" fillId="0" borderId="43" xfId="0" applyFont="1" applyFill="1" applyBorder="1" applyAlignment="1">
      <alignment horizontal="center" vertical="top"/>
    </xf>
    <xf numFmtId="44" fontId="25" fillId="0" borderId="43" xfId="55" applyNumberFormat="1" applyFont="1" applyFill="1" applyBorder="1" applyAlignment="1">
      <alignment horizontal="center" vertical="top"/>
    </xf>
    <xf numFmtId="167" fontId="26" fillId="0" borderId="23" xfId="0" applyNumberFormat="1" applyFont="1" applyFill="1" applyBorder="1" applyAlignment="1" applyProtection="1">
      <alignment horizontal="center" vertical="top"/>
    </xf>
    <xf numFmtId="44" fontId="25" fillId="0" borderId="44" xfId="55" applyNumberFormat="1" applyFont="1" applyFill="1" applyBorder="1" applyAlignment="1">
      <alignment horizontal="center" vertical="top"/>
    </xf>
    <xf numFmtId="167" fontId="26" fillId="0" borderId="45" xfId="0" applyNumberFormat="1" applyFont="1" applyFill="1" applyBorder="1" applyAlignment="1" applyProtection="1">
      <alignment horizontal="center" vertical="top"/>
    </xf>
    <xf numFmtId="44" fontId="25" fillId="0" borderId="10" xfId="55" applyNumberFormat="1" applyFont="1" applyFill="1" applyBorder="1" applyAlignment="1">
      <alignment horizontal="center" vertical="top"/>
    </xf>
    <xf numFmtId="167" fontId="26" fillId="0" borderId="46" xfId="0" applyNumberFormat="1" applyFont="1" applyFill="1" applyBorder="1" applyAlignment="1" applyProtection="1">
      <alignment horizontal="center" vertical="top"/>
    </xf>
    <xf numFmtId="9" fontId="25" fillId="0" borderId="25" xfId="0" applyNumberFormat="1" applyFont="1" applyFill="1" applyBorder="1" applyAlignment="1">
      <alignment horizontal="center" vertical="top"/>
    </xf>
    <xf numFmtId="9" fontId="25" fillId="24" borderId="15" xfId="58" applyFont="1" applyFill="1" applyBorder="1" applyAlignment="1" applyProtection="1">
      <alignment horizontal="center" vertical="top"/>
    </xf>
    <xf numFmtId="41" fontId="25" fillId="0" borderId="15" xfId="45" applyNumberFormat="1" applyFont="1" applyBorder="1" applyAlignment="1">
      <alignment horizontal="center" vertical="top"/>
    </xf>
    <xf numFmtId="0" fontId="25" fillId="0" borderId="15" xfId="45" applyFont="1" applyBorder="1" applyAlignment="1">
      <alignment horizontal="center" vertical="top"/>
    </xf>
    <xf numFmtId="44" fontId="25" fillId="24" borderId="15" xfId="55" applyNumberFormat="1" applyFont="1" applyFill="1" applyBorder="1" applyAlignment="1" applyProtection="1">
      <alignment horizontal="center" vertical="top"/>
    </xf>
    <xf numFmtId="9" fontId="25" fillId="0" borderId="36" xfId="0" applyNumberFormat="1" applyFont="1" applyFill="1" applyBorder="1" applyAlignment="1">
      <alignment horizontal="center" vertical="top"/>
    </xf>
    <xf numFmtId="41" fontId="25" fillId="0" borderId="44" xfId="0" applyNumberFormat="1" applyFont="1" applyFill="1" applyBorder="1" applyAlignment="1">
      <alignment horizontal="center" vertical="top"/>
    </xf>
    <xf numFmtId="0" fontId="25" fillId="0" borderId="44" xfId="0" applyFont="1" applyFill="1" applyBorder="1" applyAlignment="1">
      <alignment horizontal="center" vertical="top"/>
    </xf>
    <xf numFmtId="0" fontId="47" fillId="0" borderId="0" xfId="45" applyFont="1" applyAlignment="1">
      <alignment vertical="top"/>
    </xf>
    <xf numFmtId="44" fontId="25" fillId="0" borderId="15" xfId="55" applyNumberFormat="1" applyFont="1" applyFill="1" applyBorder="1" applyAlignment="1">
      <alignment horizontal="center" vertical="top"/>
    </xf>
    <xf numFmtId="167" fontId="26" fillId="0" borderId="37" xfId="0" applyNumberFormat="1" applyFont="1" applyFill="1" applyBorder="1" applyAlignment="1" applyProtection="1">
      <alignment horizontal="center" vertical="top"/>
    </xf>
    <xf numFmtId="2" fontId="25" fillId="0" borderId="15" xfId="0" applyNumberFormat="1" applyFont="1" applyFill="1" applyBorder="1" applyAlignment="1">
      <alignment horizontal="right" vertical="top" wrapText="1"/>
    </xf>
    <xf numFmtId="1" fontId="26" fillId="0" borderId="43" xfId="0" applyNumberFormat="1" applyFont="1" applyFill="1" applyBorder="1" applyAlignment="1">
      <alignment horizontal="left" vertical="top" wrapText="1"/>
    </xf>
    <xf numFmtId="1" fontId="26" fillId="0" borderId="43" xfId="0" applyNumberFormat="1" applyFont="1" applyFill="1" applyBorder="1" applyAlignment="1">
      <alignment horizontal="left" vertical="top"/>
    </xf>
    <xf numFmtId="0" fontId="25" fillId="0" borderId="43" xfId="0" applyFont="1" applyFill="1" applyBorder="1" applyAlignment="1">
      <alignment horizontal="left" vertical="top" wrapText="1"/>
    </xf>
    <xf numFmtId="1" fontId="25" fillId="0" borderId="43" xfId="0" applyNumberFormat="1" applyFont="1" applyFill="1" applyBorder="1" applyAlignment="1">
      <alignment horizontal="center" vertical="top"/>
    </xf>
    <xf numFmtId="41" fontId="25" fillId="0" borderId="43" xfId="0" applyNumberFormat="1" applyFont="1" applyFill="1" applyBorder="1" applyAlignment="1">
      <alignment horizontal="right" vertical="top"/>
    </xf>
    <xf numFmtId="44" fontId="25" fillId="0" borderId="43" xfId="56" applyNumberFormat="1" applyFont="1" applyFill="1" applyBorder="1" applyAlignment="1">
      <alignment horizontal="center" vertical="top"/>
    </xf>
    <xf numFmtId="165" fontId="25" fillId="0" borderId="47" xfId="0" applyNumberFormat="1" applyFont="1" applyBorder="1" applyAlignment="1">
      <alignment vertical="top"/>
    </xf>
    <xf numFmtId="1" fontId="26" fillId="0" borderId="10" xfId="0" applyNumberFormat="1" applyFont="1" applyFill="1" applyBorder="1" applyAlignment="1">
      <alignment horizontal="left" vertical="top" wrapText="1"/>
    </xf>
    <xf numFmtId="1" fontId="26" fillId="0" borderId="10" xfId="0" applyNumberFormat="1" applyFont="1" applyFill="1" applyBorder="1" applyAlignment="1">
      <alignment horizontal="left" vertical="top"/>
    </xf>
    <xf numFmtId="0" fontId="25" fillId="0" borderId="10" xfId="0" applyFont="1" applyFill="1" applyBorder="1" applyAlignment="1">
      <alignment horizontal="left" vertical="top" wrapText="1"/>
    </xf>
    <xf numFmtId="41" fontId="25" fillId="0" borderId="10" xfId="0" applyNumberFormat="1" applyFont="1" applyFill="1" applyBorder="1" applyAlignment="1">
      <alignment horizontal="right" vertical="top"/>
    </xf>
    <xf numFmtId="44" fontId="25" fillId="0" borderId="10" xfId="56" applyNumberFormat="1" applyFont="1" applyFill="1" applyBorder="1" applyAlignment="1">
      <alignment horizontal="center" vertical="top"/>
    </xf>
    <xf numFmtId="165" fontId="25" fillId="0" borderId="33" xfId="0" applyNumberFormat="1" applyFont="1" applyBorder="1" applyAlignment="1">
      <alignment vertical="top"/>
    </xf>
    <xf numFmtId="0" fontId="48" fillId="0" borderId="0" xfId="45" applyFont="1" applyAlignment="1">
      <alignment vertical="top"/>
    </xf>
    <xf numFmtId="0" fontId="35" fillId="24" borderId="0" xfId="0" applyNumberFormat="1" applyFont="1" applyFill="1" applyBorder="1" applyAlignment="1">
      <alignment vertical="top"/>
    </xf>
    <xf numFmtId="0" fontId="35" fillId="0" borderId="0" xfId="0" applyFont="1" applyFill="1" applyBorder="1" applyAlignment="1">
      <alignment vertical="top"/>
    </xf>
    <xf numFmtId="0" fontId="47" fillId="24" borderId="0" xfId="45" applyFont="1" applyFill="1" applyAlignment="1">
      <alignment vertical="top"/>
    </xf>
    <xf numFmtId="168" fontId="25" fillId="24" borderId="10" xfId="45" applyNumberFormat="1" applyFont="1" applyFill="1" applyBorder="1" applyAlignment="1">
      <alignment horizontal="center" vertical="top"/>
    </xf>
    <xf numFmtId="166" fontId="25" fillId="24" borderId="33" xfId="55" applyNumberFormat="1" applyFont="1" applyFill="1" applyBorder="1" applyAlignment="1">
      <alignment horizontal="center" vertical="top"/>
    </xf>
    <xf numFmtId="1" fontId="40" fillId="0" borderId="15" xfId="45" applyNumberFormat="1" applyFont="1" applyBorder="1" applyAlignment="1">
      <alignment horizontal="right" vertical="top" wrapText="1"/>
    </xf>
    <xf numFmtId="0" fontId="25" fillId="0" borderId="0" xfId="45" applyFont="1" applyAlignment="1">
      <alignment vertical="top"/>
    </xf>
    <xf numFmtId="2" fontId="50" fillId="24" borderId="20" xfId="45" applyNumberFormat="1" applyFont="1" applyFill="1" applyBorder="1" applyAlignment="1">
      <alignment horizontal="left" vertical="top"/>
    </xf>
    <xf numFmtId="2" fontId="51" fillId="24" borderId="0" xfId="59" applyNumberFormat="1" applyFont="1" applyFill="1" applyBorder="1" applyAlignment="1">
      <alignment horizontal="left" vertical="top"/>
    </xf>
    <xf numFmtId="2" fontId="51" fillId="24" borderId="0" xfId="45" applyNumberFormat="1" applyFont="1" applyFill="1" applyBorder="1" applyAlignment="1">
      <alignment horizontal="left" vertical="top"/>
    </xf>
    <xf numFmtId="2" fontId="52" fillId="24" borderId="0" xfId="45" applyNumberFormat="1" applyFont="1" applyFill="1" applyBorder="1" applyAlignment="1">
      <alignment horizontal="center" vertical="top"/>
    </xf>
    <xf numFmtId="2" fontId="53" fillId="24" borderId="0" xfId="45" applyNumberFormat="1" applyFont="1" applyFill="1" applyBorder="1" applyAlignment="1">
      <alignment vertical="top"/>
    </xf>
    <xf numFmtId="165" fontId="53" fillId="24" borderId="0" xfId="45" applyNumberFormat="1" applyFont="1" applyFill="1" applyBorder="1" applyAlignment="1">
      <alignment vertical="top"/>
    </xf>
    <xf numFmtId="165" fontId="53" fillId="24" borderId="23" xfId="45" applyNumberFormat="1" applyFont="1" applyFill="1" applyBorder="1" applyAlignment="1">
      <alignment vertical="top"/>
    </xf>
    <xf numFmtId="0" fontId="25" fillId="24" borderId="20" xfId="45" applyFont="1" applyFill="1" applyBorder="1" applyAlignment="1">
      <alignment horizontal="left" vertical="top"/>
    </xf>
    <xf numFmtId="14" fontId="52" fillId="24" borderId="0" xfId="45" applyNumberFormat="1" applyFont="1" applyFill="1" applyBorder="1" applyAlignment="1">
      <alignment horizontal="left" vertical="top"/>
    </xf>
    <xf numFmtId="2" fontId="51" fillId="24" borderId="0" xfId="45" applyNumberFormat="1" applyFont="1" applyFill="1" applyBorder="1" applyAlignment="1">
      <alignment vertical="top"/>
    </xf>
    <xf numFmtId="2" fontId="54" fillId="24" borderId="0" xfId="45" applyNumberFormat="1" applyFont="1" applyFill="1" applyBorder="1" applyAlignment="1">
      <alignment horizontal="left" vertical="top"/>
    </xf>
    <xf numFmtId="165" fontId="52" fillId="24" borderId="0" xfId="45" applyNumberFormat="1" applyFont="1" applyFill="1" applyBorder="1" applyAlignment="1">
      <alignment horizontal="center" vertical="top"/>
    </xf>
    <xf numFmtId="165" fontId="52" fillId="24" borderId="23" xfId="45" applyNumberFormat="1" applyFont="1" applyFill="1" applyBorder="1" applyAlignment="1">
      <alignment horizontal="center" vertical="top"/>
    </xf>
    <xf numFmtId="170" fontId="52" fillId="24" borderId="0" xfId="45" applyNumberFormat="1" applyFont="1" applyFill="1" applyBorder="1" applyAlignment="1">
      <alignment horizontal="center" vertical="top"/>
    </xf>
    <xf numFmtId="170" fontId="52" fillId="24" borderId="23" xfId="45" applyNumberFormat="1" applyFont="1" applyFill="1" applyBorder="1" applyAlignment="1">
      <alignment horizontal="center" vertical="top"/>
    </xf>
    <xf numFmtId="0" fontId="29" fillId="0" borderId="0" xfId="45" applyFont="1" applyAlignment="1">
      <alignment horizontal="center" vertical="top" wrapText="1"/>
    </xf>
    <xf numFmtId="0" fontId="25" fillId="0" borderId="39" xfId="45" applyFont="1" applyFill="1" applyBorder="1" applyAlignment="1">
      <alignment horizontal="center" vertical="top"/>
    </xf>
    <xf numFmtId="2" fontId="55" fillId="0" borderId="10" xfId="60" applyNumberFormat="1" applyFont="1" applyFill="1" applyBorder="1" applyAlignment="1">
      <alignment horizontal="left" vertical="top" wrapText="1"/>
    </xf>
    <xf numFmtId="0" fontId="52" fillId="24" borderId="10" xfId="60" applyNumberFormat="1" applyFont="1" applyFill="1" applyBorder="1" applyAlignment="1">
      <alignment horizontal="center" vertical="top"/>
    </xf>
    <xf numFmtId="0" fontId="52" fillId="24" borderId="10" xfId="60" applyFont="1" applyFill="1" applyBorder="1" applyAlignment="1">
      <alignment horizontal="center" vertical="top"/>
    </xf>
    <xf numFmtId="168" fontId="52" fillId="24" borderId="10" xfId="45" applyNumberFormat="1" applyFont="1" applyFill="1" applyBorder="1" applyAlignment="1">
      <alignment horizontal="center" vertical="top"/>
    </xf>
    <xf numFmtId="166" fontId="52" fillId="24" borderId="16" xfId="45" applyNumberFormat="1" applyFont="1" applyFill="1" applyBorder="1" applyAlignment="1">
      <alignment horizontal="center" vertical="top"/>
    </xf>
    <xf numFmtId="0" fontId="25" fillId="24" borderId="49" xfId="45" applyFont="1" applyFill="1" applyBorder="1" applyAlignment="1">
      <alignment vertical="top"/>
    </xf>
    <xf numFmtId="2" fontId="52" fillId="0" borderId="10" xfId="60" applyNumberFormat="1" applyFont="1" applyFill="1" applyBorder="1" applyAlignment="1">
      <alignment horizontal="left" vertical="top" wrapText="1"/>
    </xf>
    <xf numFmtId="167" fontId="52" fillId="24" borderId="16" xfId="45" applyNumberFormat="1" applyFont="1" applyFill="1" applyBorder="1" applyAlignment="1">
      <alignment horizontal="center" vertical="top"/>
    </xf>
    <xf numFmtId="0" fontId="52" fillId="0" borderId="10" xfId="60" applyFont="1" applyFill="1" applyBorder="1" applyAlignment="1">
      <alignment horizontal="center" vertical="top"/>
    </xf>
    <xf numFmtId="168" fontId="52" fillId="28" borderId="10" xfId="45" applyNumberFormat="1" applyFont="1" applyFill="1" applyBorder="1" applyAlignment="1">
      <alignment horizontal="center" vertical="top"/>
    </xf>
    <xf numFmtId="167" fontId="52" fillId="24" borderId="10" xfId="45" applyNumberFormat="1" applyFont="1" applyFill="1" applyBorder="1" applyAlignment="1">
      <alignment horizontal="center" vertical="top"/>
    </xf>
    <xf numFmtId="0" fontId="25" fillId="24" borderId="49" xfId="60" applyFont="1" applyFill="1" applyBorder="1" applyAlignment="1">
      <alignment vertical="top"/>
    </xf>
    <xf numFmtId="2" fontId="52" fillId="24" borderId="10" xfId="60" applyNumberFormat="1" applyFont="1" applyFill="1" applyBorder="1" applyAlignment="1">
      <alignment horizontal="left" vertical="top" wrapText="1"/>
    </xf>
    <xf numFmtId="2" fontId="56" fillId="0" borderId="10" xfId="60" applyNumberFormat="1" applyFont="1" applyBorder="1" applyAlignment="1">
      <alignment horizontal="left" vertical="top" wrapText="1"/>
    </xf>
    <xf numFmtId="0" fontId="52" fillId="0" borderId="10" xfId="60" applyNumberFormat="1" applyFont="1" applyFill="1" applyBorder="1" applyAlignment="1">
      <alignment horizontal="center" vertical="top"/>
    </xf>
    <xf numFmtId="2" fontId="55" fillId="0" borderId="10" xfId="60" applyNumberFormat="1" applyFont="1" applyBorder="1" applyAlignment="1">
      <alignment horizontal="left" vertical="top" wrapText="1"/>
    </xf>
    <xf numFmtId="1" fontId="25" fillId="0" borderId="0" xfId="45" applyNumberFormat="1" applyFont="1" applyAlignment="1">
      <alignment vertical="top"/>
    </xf>
    <xf numFmtId="2" fontId="57" fillId="0" borderId="15" xfId="60" applyNumberFormat="1" applyFont="1" applyBorder="1" applyAlignment="1">
      <alignment horizontal="left" vertical="top" wrapText="1"/>
    </xf>
    <xf numFmtId="2" fontId="56" fillId="0" borderId="15" xfId="60" applyNumberFormat="1" applyFont="1" applyBorder="1" applyAlignment="1">
      <alignment horizontal="left" vertical="top" wrapText="1"/>
    </xf>
    <xf numFmtId="2" fontId="52" fillId="0" borderId="31" xfId="60" applyNumberFormat="1" applyFont="1" applyFill="1" applyBorder="1" applyAlignment="1">
      <alignment horizontal="left" vertical="top" wrapText="1"/>
    </xf>
    <xf numFmtId="0" fontId="52" fillId="0" borderId="31" xfId="60" applyNumberFormat="1" applyFont="1" applyFill="1" applyBorder="1" applyAlignment="1">
      <alignment horizontal="center" vertical="top"/>
    </xf>
    <xf numFmtId="0" fontId="52" fillId="0" borderId="31" xfId="60" applyFont="1" applyFill="1" applyBorder="1" applyAlignment="1">
      <alignment horizontal="center" vertical="top"/>
    </xf>
    <xf numFmtId="168" fontId="52" fillId="24" borderId="43" xfId="45" applyNumberFormat="1" applyFont="1" applyFill="1" applyBorder="1" applyAlignment="1">
      <alignment horizontal="center" vertical="top"/>
    </xf>
    <xf numFmtId="167" fontId="52" fillId="24" borderId="50" xfId="45" applyNumberFormat="1" applyFont="1" applyFill="1" applyBorder="1" applyAlignment="1">
      <alignment horizontal="center" vertical="top"/>
    </xf>
    <xf numFmtId="2" fontId="55" fillId="0" borderId="10" xfId="45" applyNumberFormat="1" applyFont="1" applyBorder="1" applyAlignment="1">
      <alignment horizontal="left" vertical="top" wrapText="1"/>
    </xf>
    <xf numFmtId="41" fontId="52" fillId="24" borderId="10" xfId="45" applyNumberFormat="1" applyFont="1" applyFill="1" applyBorder="1" applyAlignment="1">
      <alignment horizontal="center" vertical="top"/>
    </xf>
    <xf numFmtId="0" fontId="52" fillId="24" borderId="10" xfId="45" applyFont="1" applyFill="1" applyBorder="1" applyAlignment="1">
      <alignment horizontal="center" vertical="top"/>
    </xf>
    <xf numFmtId="0" fontId="52" fillId="0" borderId="10" xfId="45" applyFont="1" applyBorder="1" applyAlignment="1">
      <alignment horizontal="center" vertical="top"/>
    </xf>
    <xf numFmtId="2" fontId="52" fillId="0" borderId="10" xfId="45" applyNumberFormat="1" applyFont="1" applyBorder="1" applyAlignment="1">
      <alignment horizontal="left" vertical="top" wrapText="1"/>
    </xf>
    <xf numFmtId="2" fontId="58" fillId="0" borderId="10" xfId="45" applyNumberFormat="1" applyFont="1" applyBorder="1" applyAlignment="1">
      <alignment horizontal="left" vertical="top" wrapText="1"/>
    </xf>
    <xf numFmtId="168" fontId="51" fillId="24" borderId="10" xfId="45" applyNumberFormat="1" applyFont="1" applyFill="1" applyBorder="1" applyAlignment="1">
      <alignment horizontal="center" vertical="center"/>
    </xf>
    <xf numFmtId="2" fontId="52" fillId="0" borderId="31" xfId="45" applyNumberFormat="1" applyFont="1" applyBorder="1" applyAlignment="1">
      <alignment horizontal="left" vertical="top" wrapText="1"/>
    </xf>
    <xf numFmtId="41" fontId="52" fillId="24" borderId="31" xfId="45" applyNumberFormat="1" applyFont="1" applyFill="1" applyBorder="1" applyAlignment="1">
      <alignment horizontal="center" vertical="top"/>
    </xf>
    <xf numFmtId="0" fontId="52" fillId="24" borderId="31" xfId="45" applyFont="1" applyFill="1" applyBorder="1" applyAlignment="1">
      <alignment horizontal="center" vertical="top"/>
    </xf>
    <xf numFmtId="168" fontId="52" fillId="24" borderId="31" xfId="45" applyNumberFormat="1" applyFont="1" applyFill="1" applyBorder="1" applyAlignment="1">
      <alignment horizontal="center" vertical="top"/>
    </xf>
    <xf numFmtId="167" fontId="52" fillId="24" borderId="31" xfId="45" applyNumberFormat="1" applyFont="1" applyFill="1" applyBorder="1" applyAlignment="1">
      <alignment vertical="top"/>
    </xf>
    <xf numFmtId="167" fontId="52" fillId="24" borderId="51" xfId="45" applyNumberFormat="1" applyFont="1" applyFill="1" applyBorder="1" applyAlignment="1">
      <alignment horizontal="center" vertical="top"/>
    </xf>
    <xf numFmtId="0" fontId="25" fillId="24" borderId="46" xfId="45" applyFont="1" applyFill="1" applyBorder="1" applyAlignment="1">
      <alignment vertical="top"/>
    </xf>
    <xf numFmtId="0" fontId="25" fillId="0" borderId="12" xfId="45" applyFont="1" applyBorder="1" applyAlignment="1">
      <alignment horizontal="center" vertical="top"/>
    </xf>
    <xf numFmtId="2" fontId="25" fillId="0" borderId="0" xfId="45" applyNumberFormat="1" applyFont="1" applyAlignment="1">
      <alignment vertical="top" wrapText="1"/>
    </xf>
    <xf numFmtId="2" fontId="25" fillId="24" borderId="0" xfId="45" applyNumberFormat="1" applyFont="1" applyFill="1" applyAlignment="1">
      <alignment horizontal="center" vertical="top" wrapText="1"/>
    </xf>
    <xf numFmtId="2" fontId="25" fillId="0" borderId="0" xfId="45" applyNumberFormat="1" applyFont="1" applyAlignment="1">
      <alignment horizontal="center" vertical="top" wrapText="1"/>
    </xf>
    <xf numFmtId="0" fontId="25" fillId="28" borderId="0" xfId="45" applyFont="1" applyFill="1" applyAlignment="1">
      <alignment horizontal="center" vertical="top"/>
    </xf>
    <xf numFmtId="165" fontId="25" fillId="0" borderId="0" xfId="45" applyNumberFormat="1" applyFont="1" applyAlignment="1">
      <alignment vertical="top"/>
    </xf>
    <xf numFmtId="0" fontId="25" fillId="0" borderId="0" xfId="45" applyFont="1" applyAlignment="1">
      <alignment horizontal="center" vertical="top"/>
    </xf>
    <xf numFmtId="165" fontId="25" fillId="0" borderId="0" xfId="45" applyNumberFormat="1" applyFont="1" applyAlignment="1">
      <alignment horizontal="center" vertical="top"/>
    </xf>
    <xf numFmtId="166" fontId="35" fillId="0" borderId="0" xfId="0" applyNumberFormat="1" applyFont="1" applyFill="1" applyBorder="1" applyAlignment="1">
      <alignment vertical="top"/>
    </xf>
    <xf numFmtId="0" fontId="25" fillId="0" borderId="15" xfId="45" applyFont="1" applyFill="1" applyBorder="1" applyAlignment="1">
      <alignment horizontal="center" vertical="top" wrapText="1"/>
    </xf>
    <xf numFmtId="1" fontId="43" fillId="0" borderId="15" xfId="0" applyNumberFormat="1" applyFont="1" applyFill="1" applyBorder="1" applyAlignment="1" applyProtection="1">
      <alignment horizontal="right" vertical="top"/>
    </xf>
    <xf numFmtId="44" fontId="29" fillId="30" borderId="17" xfId="55" applyNumberFormat="1" applyFont="1" applyFill="1" applyBorder="1" applyAlignment="1">
      <alignment horizontal="center" vertical="top"/>
    </xf>
    <xf numFmtId="0" fontId="25" fillId="0" borderId="52" xfId="45" applyFont="1" applyFill="1" applyBorder="1" applyAlignment="1" applyProtection="1">
      <alignment horizontal="center" vertical="top"/>
    </xf>
    <xf numFmtId="0" fontId="25" fillId="24" borderId="25" xfId="45" applyFont="1" applyFill="1" applyBorder="1" applyAlignment="1" applyProtection="1">
      <alignment horizontal="center" vertical="top"/>
    </xf>
    <xf numFmtId="0" fontId="25" fillId="0" borderId="52" xfId="0" applyFont="1" applyBorder="1" applyAlignment="1">
      <alignment vertical="top"/>
    </xf>
    <xf numFmtId="166" fontId="25" fillId="24" borderId="10" xfId="55" applyNumberFormat="1" applyFont="1" applyFill="1" applyBorder="1" applyAlignment="1">
      <alignment horizontal="center" vertical="top"/>
    </xf>
    <xf numFmtId="0" fontId="40" fillId="0" borderId="11" xfId="45" applyFont="1" applyBorder="1" applyAlignment="1">
      <alignment vertical="top"/>
    </xf>
    <xf numFmtId="0" fontId="40" fillId="0" borderId="0" xfId="45" applyFont="1" applyAlignment="1">
      <alignment vertical="top"/>
    </xf>
    <xf numFmtId="0" fontId="40" fillId="33" borderId="0" xfId="45" applyFont="1" applyFill="1" applyAlignment="1">
      <alignment vertical="top"/>
    </xf>
    <xf numFmtId="2" fontId="26" fillId="24" borderId="12" xfId="45" applyNumberFormat="1" applyFont="1" applyFill="1" applyBorder="1" applyAlignment="1">
      <alignment vertical="top"/>
    </xf>
    <xf numFmtId="0" fontId="25" fillId="24" borderId="23" xfId="45" applyFont="1" applyFill="1" applyBorder="1" applyAlignment="1">
      <alignment vertical="top"/>
    </xf>
    <xf numFmtId="2" fontId="26" fillId="24" borderId="0" xfId="45" applyNumberFormat="1" applyFont="1" applyFill="1" applyAlignment="1">
      <alignment horizontal="right" vertical="top"/>
    </xf>
    <xf numFmtId="2" fontId="26" fillId="24" borderId="0" xfId="45" applyNumberFormat="1" applyFont="1" applyFill="1" applyAlignment="1">
      <alignment vertical="top"/>
    </xf>
    <xf numFmtId="0" fontId="5" fillId="0" borderId="0" xfId="45"/>
    <xf numFmtId="0" fontId="66" fillId="0" borderId="0" xfId="45" applyFont="1"/>
    <xf numFmtId="0" fontId="67" fillId="0" borderId="0" xfId="45" applyFont="1"/>
    <xf numFmtId="0" fontId="5" fillId="33" borderId="0" xfId="45" applyFill="1"/>
    <xf numFmtId="0" fontId="25" fillId="24" borderId="12" xfId="45" applyFont="1" applyFill="1" applyBorder="1" applyAlignment="1">
      <alignment vertical="top"/>
    </xf>
    <xf numFmtId="14" fontId="25" fillId="24" borderId="0" xfId="45" applyNumberFormat="1" applyFont="1" applyFill="1" applyAlignment="1">
      <alignment horizontal="left" vertical="top"/>
    </xf>
    <xf numFmtId="0" fontId="25" fillId="24" borderId="0" xfId="45" applyFont="1" applyFill="1" applyAlignment="1">
      <alignment horizontal="right" vertical="top"/>
    </xf>
    <xf numFmtId="2" fontId="25" fillId="24" borderId="0" xfId="45" applyNumberFormat="1" applyFont="1" applyFill="1" applyAlignment="1">
      <alignment vertical="top" wrapText="1"/>
    </xf>
    <xf numFmtId="0" fontId="36" fillId="24" borderId="0" xfId="45" applyFont="1" applyFill="1" applyAlignment="1">
      <alignment horizontal="left" vertical="top"/>
    </xf>
    <xf numFmtId="0" fontId="25" fillId="0" borderId="52" xfId="45" applyFont="1" applyBorder="1" applyAlignment="1">
      <alignment horizontal="center" vertical="top"/>
    </xf>
    <xf numFmtId="0" fontId="50" fillId="27" borderId="26" xfId="45" applyFont="1" applyFill="1" applyBorder="1" applyAlignment="1">
      <alignment horizontal="right" vertical="top"/>
    </xf>
    <xf numFmtId="0" fontId="50" fillId="27" borderId="17" xfId="45" applyFont="1" applyFill="1" applyBorder="1" applyAlignment="1">
      <alignment horizontal="right" vertical="top"/>
    </xf>
    <xf numFmtId="0" fontId="50" fillId="27" borderId="17" xfId="45" applyFont="1" applyFill="1" applyBorder="1" applyAlignment="1">
      <alignment vertical="top"/>
    </xf>
    <xf numFmtId="0" fontId="50" fillId="27" borderId="27" xfId="45" applyFont="1" applyFill="1" applyBorder="1" applyAlignment="1">
      <alignment vertical="top"/>
    </xf>
    <xf numFmtId="0" fontId="25" fillId="24" borderId="30" xfId="45" applyFont="1" applyFill="1" applyBorder="1" applyAlignment="1">
      <alignment horizontal="center" vertical="top"/>
    </xf>
    <xf numFmtId="0" fontId="40" fillId="33" borderId="26" xfId="45" applyFont="1" applyFill="1" applyBorder="1" applyAlignment="1">
      <alignment horizontal="center" vertical="top" wrapText="1"/>
    </xf>
    <xf numFmtId="0" fontId="40" fillId="33" borderId="17" xfId="45" applyFont="1" applyFill="1" applyBorder="1" applyAlignment="1">
      <alignment horizontal="center" vertical="top" wrapText="1"/>
    </xf>
    <xf numFmtId="0" fontId="70" fillId="33" borderId="17" xfId="45" applyFont="1" applyFill="1" applyBorder="1" applyAlignment="1">
      <alignment horizontal="left" vertical="top" wrapText="1"/>
    </xf>
    <xf numFmtId="0" fontId="71" fillId="24" borderId="15" xfId="45" applyFont="1" applyFill="1" applyBorder="1" applyAlignment="1">
      <alignment horizontal="center" vertical="top" wrapText="1"/>
    </xf>
    <xf numFmtId="1" fontId="25" fillId="0" borderId="15" xfId="45" applyNumberFormat="1" applyFont="1" applyBorder="1" applyAlignment="1">
      <alignment horizontal="right" vertical="top"/>
    </xf>
    <xf numFmtId="0" fontId="26" fillId="24" borderId="30" xfId="45" applyFont="1" applyFill="1" applyBorder="1" applyAlignment="1">
      <alignment horizontal="left" vertical="top" wrapText="1"/>
    </xf>
    <xf numFmtId="0" fontId="72" fillId="24" borderId="15" xfId="45" applyFont="1" applyFill="1" applyBorder="1" applyAlignment="1">
      <alignment horizontal="center" vertical="top" wrapText="1"/>
    </xf>
    <xf numFmtId="0" fontId="25" fillId="33" borderId="26" xfId="45" applyFont="1" applyFill="1" applyBorder="1" applyAlignment="1">
      <alignment horizontal="center" vertical="top" wrapText="1"/>
    </xf>
    <xf numFmtId="0" fontId="73" fillId="33" borderId="17" xfId="45" applyFont="1" applyFill="1" applyBorder="1" applyAlignment="1">
      <alignment horizontal="left" vertical="top" wrapText="1"/>
    </xf>
    <xf numFmtId="0" fontId="25" fillId="0" borderId="10" xfId="45" applyFont="1" applyBorder="1" applyAlignment="1">
      <alignment horizontal="center" vertical="top" wrapText="1"/>
    </xf>
    <xf numFmtId="1" fontId="25" fillId="24" borderId="10" xfId="45" applyNumberFormat="1" applyFont="1" applyFill="1" applyBorder="1" applyAlignment="1">
      <alignment horizontal="right" vertical="top"/>
    </xf>
    <xf numFmtId="0" fontId="25" fillId="24" borderId="30" xfId="45" applyFont="1" applyFill="1" applyBorder="1" applyAlignment="1">
      <alignment horizontal="left" vertical="top" wrapText="1"/>
    </xf>
    <xf numFmtId="1" fontId="25" fillId="24" borderId="15" xfId="45" applyNumberFormat="1" applyFont="1" applyFill="1" applyBorder="1" applyAlignment="1">
      <alignment horizontal="right" vertical="top"/>
    </xf>
    <xf numFmtId="0" fontId="26" fillId="24" borderId="30" xfId="45" applyFont="1" applyFill="1" applyBorder="1" applyAlignment="1">
      <alignment horizontal="right" vertical="top" wrapText="1"/>
    </xf>
    <xf numFmtId="1" fontId="25" fillId="0" borderId="10" xfId="45" applyNumberFormat="1" applyFont="1" applyBorder="1" applyAlignment="1">
      <alignment horizontal="right" vertical="top"/>
    </xf>
    <xf numFmtId="0" fontId="25" fillId="24" borderId="16" xfId="45" applyFont="1" applyFill="1" applyBorder="1" applyAlignment="1">
      <alignment horizontal="left" vertical="top" wrapText="1"/>
    </xf>
    <xf numFmtId="0" fontId="25" fillId="0" borderId="16" xfId="45" applyFont="1" applyBorder="1" applyAlignment="1">
      <alignment horizontal="left" vertical="top" wrapText="1"/>
    </xf>
    <xf numFmtId="0" fontId="71" fillId="24" borderId="30" xfId="45" applyFont="1" applyFill="1" applyBorder="1" applyAlignment="1">
      <alignment horizontal="left" vertical="top" wrapText="1"/>
    </xf>
    <xf numFmtId="171" fontId="5" fillId="0" borderId="0" xfId="45" applyNumberFormat="1"/>
    <xf numFmtId="0" fontId="30" fillId="25" borderId="0" xfId="45" applyFont="1" applyFill="1" applyAlignment="1">
      <alignment vertical="top"/>
    </xf>
    <xf numFmtId="2" fontId="25" fillId="0" borderId="16" xfId="45" applyNumberFormat="1" applyFont="1" applyBorder="1" applyAlignment="1">
      <alignment horizontal="left" vertical="top" wrapText="1"/>
    </xf>
    <xf numFmtId="0" fontId="36" fillId="24" borderId="10" xfId="45" applyFont="1" applyFill="1" applyBorder="1" applyAlignment="1">
      <alignment horizontal="left" vertical="top"/>
    </xf>
    <xf numFmtId="167" fontId="25" fillId="0" borderId="0" xfId="45" applyNumberFormat="1" applyFont="1" applyAlignment="1">
      <alignment vertical="top"/>
    </xf>
    <xf numFmtId="43" fontId="72" fillId="24" borderId="15" xfId="45" applyNumberFormat="1" applyFont="1" applyFill="1" applyBorder="1" applyAlignment="1">
      <alignment horizontal="center" vertical="top" wrapText="1"/>
    </xf>
    <xf numFmtId="0" fontId="71" fillId="24" borderId="15" xfId="45" applyFont="1" applyFill="1" applyBorder="1" applyAlignment="1">
      <alignment horizontal="center" vertical="top"/>
    </xf>
    <xf numFmtId="0" fontId="30" fillId="24" borderId="30" xfId="45" applyFont="1" applyFill="1" applyBorder="1" applyAlignment="1">
      <alignment horizontal="left" vertical="top" wrapText="1"/>
    </xf>
    <xf numFmtId="0" fontId="25" fillId="24" borderId="31" xfId="45" applyFont="1" applyFill="1" applyBorder="1" applyAlignment="1">
      <alignment horizontal="center" vertical="top"/>
    </xf>
    <xf numFmtId="0" fontId="25" fillId="24" borderId="31" xfId="45" applyFont="1" applyFill="1" applyBorder="1" applyAlignment="1">
      <alignment horizontal="center" vertical="top" wrapText="1"/>
    </xf>
    <xf numFmtId="1" fontId="25" fillId="24" borderId="53" xfId="45" applyNumberFormat="1" applyFont="1" applyFill="1" applyBorder="1" applyAlignment="1">
      <alignment horizontal="right" vertical="top"/>
    </xf>
    <xf numFmtId="2" fontId="25" fillId="24" borderId="53" xfId="45" applyNumberFormat="1" applyFont="1" applyFill="1" applyBorder="1" applyAlignment="1">
      <alignment horizontal="left" vertical="top" wrapText="1"/>
    </xf>
    <xf numFmtId="166" fontId="74" fillId="24" borderId="20" xfId="55" applyNumberFormat="1" applyFont="1" applyFill="1" applyBorder="1" applyAlignment="1">
      <alignment horizontal="center" vertical="top"/>
    </xf>
    <xf numFmtId="44" fontId="74" fillId="0" borderId="15" xfId="55" applyFont="1" applyFill="1" applyBorder="1" applyAlignment="1" applyProtection="1">
      <alignment horizontal="center" vertical="top"/>
    </xf>
    <xf numFmtId="166" fontId="74" fillId="0" borderId="22" xfId="55" applyNumberFormat="1" applyFont="1" applyFill="1" applyBorder="1" applyAlignment="1">
      <alignment horizontal="center" vertical="top"/>
    </xf>
    <xf numFmtId="2" fontId="26" fillId="0" borderId="15" xfId="45" applyNumberFormat="1" applyFont="1" applyBorder="1" applyAlignment="1">
      <alignment horizontal="left" vertical="top" wrapText="1"/>
    </xf>
    <xf numFmtId="2" fontId="25" fillId="0" borderId="15" xfId="45" applyNumberFormat="1" applyFont="1" applyBorder="1" applyAlignment="1">
      <alignment horizontal="right" vertical="top" wrapText="1"/>
    </xf>
    <xf numFmtId="0" fontId="30" fillId="24" borderId="12" xfId="45" applyFont="1" applyFill="1" applyBorder="1" applyAlignment="1">
      <alignment vertical="top"/>
    </xf>
    <xf numFmtId="0" fontId="25" fillId="24" borderId="0" xfId="45" applyFont="1" applyFill="1" applyAlignment="1">
      <alignment vertical="top"/>
    </xf>
    <xf numFmtId="2" fontId="77" fillId="24" borderId="0" xfId="45" applyNumberFormat="1" applyFont="1" applyFill="1" applyAlignment="1">
      <alignment vertical="top"/>
    </xf>
    <xf numFmtId="0" fontId="77" fillId="24" borderId="0" xfId="45" applyFont="1" applyFill="1" applyAlignment="1">
      <alignment vertical="top"/>
    </xf>
    <xf numFmtId="0" fontId="30" fillId="24" borderId="0" xfId="45" applyFont="1" applyFill="1" applyAlignment="1">
      <alignment vertical="top"/>
    </xf>
    <xf numFmtId="0" fontId="25" fillId="24" borderId="0" xfId="45" applyFont="1" applyFill="1" applyAlignment="1">
      <alignment horizontal="left" vertical="top"/>
    </xf>
    <xf numFmtId="0" fontId="26" fillId="24" borderId="0" xfId="45" applyFont="1" applyFill="1" applyAlignment="1">
      <alignment vertical="top"/>
    </xf>
    <xf numFmtId="0" fontId="25" fillId="0" borderId="0" xfId="45" applyFont="1" applyAlignment="1">
      <alignment horizontal="right" vertical="top"/>
    </xf>
    <xf numFmtId="0" fontId="68" fillId="24" borderId="12" xfId="45" applyFont="1" applyFill="1" applyBorder="1" applyAlignment="1">
      <alignment horizontal="left" vertical="top"/>
    </xf>
    <xf numFmtId="0" fontId="25" fillId="24" borderId="23" xfId="45" applyFont="1" applyFill="1" applyBorder="1" applyAlignment="1">
      <alignment horizontal="center" vertical="top"/>
    </xf>
    <xf numFmtId="2" fontId="65" fillId="24" borderId="0" xfId="45" applyNumberFormat="1" applyFont="1" applyFill="1" applyBorder="1" applyAlignment="1">
      <alignment vertical="top"/>
    </xf>
    <xf numFmtId="0" fontId="50" fillId="27" borderId="13" xfId="45" applyFont="1" applyFill="1" applyBorder="1" applyAlignment="1">
      <alignment horizontal="right" vertical="top"/>
    </xf>
    <xf numFmtId="0" fontId="50" fillId="27" borderId="14" xfId="45" applyFont="1" applyFill="1" applyBorder="1" applyAlignment="1">
      <alignment horizontal="right" vertical="top"/>
    </xf>
    <xf numFmtId="0" fontId="50" fillId="27" borderId="14" xfId="45" applyFont="1" applyFill="1" applyBorder="1" applyAlignment="1">
      <alignment vertical="top"/>
    </xf>
    <xf numFmtId="0" fontId="69" fillId="30" borderId="26" xfId="45" applyFont="1" applyFill="1" applyBorder="1" applyAlignment="1">
      <alignment horizontal="center" vertical="top" wrapText="1"/>
    </xf>
    <xf numFmtId="0" fontId="69" fillId="30" borderId="17" xfId="45" applyFont="1" applyFill="1" applyBorder="1" applyAlignment="1">
      <alignment horizontal="center" vertical="top" wrapText="1"/>
    </xf>
    <xf numFmtId="2" fontId="69" fillId="30" borderId="17" xfId="45" applyNumberFormat="1" applyFont="1" applyFill="1" applyBorder="1" applyAlignment="1">
      <alignment horizontal="center" vertical="top" wrapText="1"/>
    </xf>
    <xf numFmtId="165" fontId="69" fillId="30" borderId="17" xfId="45" applyNumberFormat="1" applyFont="1" applyFill="1" applyBorder="1" applyAlignment="1">
      <alignment horizontal="center" vertical="top" wrapText="1"/>
    </xf>
    <xf numFmtId="165" fontId="69" fillId="30" borderId="27" xfId="45" applyNumberFormat="1" applyFont="1" applyFill="1" applyBorder="1" applyAlignment="1">
      <alignment horizontal="center" vertical="top" wrapText="1"/>
    </xf>
    <xf numFmtId="0" fontId="62" fillId="30" borderId="17" xfId="45" applyFont="1" applyFill="1" applyBorder="1" applyAlignment="1">
      <alignment vertical="top"/>
    </xf>
    <xf numFmtId="0" fontId="63" fillId="30" borderId="17" xfId="45" applyFont="1" applyFill="1" applyBorder="1" applyAlignment="1">
      <alignment vertical="top" wrapText="1"/>
    </xf>
    <xf numFmtId="2" fontId="26" fillId="24" borderId="0" xfId="45" applyNumberFormat="1" applyFont="1" applyFill="1" applyBorder="1" applyAlignment="1">
      <alignment vertical="top"/>
    </xf>
    <xf numFmtId="2" fontId="59" fillId="30" borderId="26" xfId="45" applyNumberFormat="1" applyFont="1" applyFill="1" applyBorder="1" applyAlignment="1">
      <alignment vertical="top"/>
    </xf>
    <xf numFmtId="2" fontId="59" fillId="30" borderId="17" xfId="45" applyNumberFormat="1" applyFont="1" applyFill="1" applyBorder="1" applyAlignment="1">
      <alignment vertical="top"/>
    </xf>
    <xf numFmtId="0" fontId="62" fillId="30" borderId="17" xfId="45" applyFont="1" applyFill="1" applyBorder="1" applyAlignment="1">
      <alignment horizontal="right" vertical="top"/>
    </xf>
    <xf numFmtId="0" fontId="62" fillId="30" borderId="17" xfId="45" applyFont="1" applyFill="1" applyBorder="1" applyAlignment="1">
      <alignment horizontal="center" vertical="top"/>
    </xf>
    <xf numFmtId="0" fontId="64" fillId="30" borderId="27" xfId="45" applyFont="1" applyFill="1" applyBorder="1" applyAlignment="1">
      <alignment horizontal="right" vertical="top"/>
    </xf>
    <xf numFmtId="2" fontId="26" fillId="24" borderId="23" xfId="45" applyNumberFormat="1" applyFont="1" applyFill="1" applyBorder="1" applyAlignment="1">
      <alignment horizontal="right" vertical="top"/>
    </xf>
    <xf numFmtId="2" fontId="26" fillId="24" borderId="0" xfId="45" applyNumberFormat="1" applyFont="1" applyFill="1" applyBorder="1" applyAlignment="1">
      <alignment horizontal="right" vertical="top"/>
    </xf>
    <xf numFmtId="0" fontId="25" fillId="27" borderId="14" xfId="45" applyFont="1" applyFill="1" applyBorder="1" applyAlignment="1">
      <alignment horizontal="right" vertical="top"/>
    </xf>
    <xf numFmtId="0" fontId="50" fillId="27" borderId="24" xfId="45" applyFont="1" applyFill="1" applyBorder="1" applyAlignment="1">
      <alignment vertical="top"/>
    </xf>
    <xf numFmtId="9" fontId="40" fillId="33" borderId="17" xfId="45" applyNumberFormat="1" applyFont="1" applyFill="1" applyBorder="1" applyAlignment="1">
      <alignment horizontal="center" vertical="top"/>
    </xf>
    <xf numFmtId="41" fontId="40" fillId="33" borderId="17" xfId="45" applyNumberFormat="1" applyFont="1" applyFill="1" applyBorder="1" applyAlignment="1">
      <alignment horizontal="center" vertical="top"/>
    </xf>
    <xf numFmtId="0" fontId="40" fillId="33" borderId="17" xfId="45" applyFont="1" applyFill="1" applyBorder="1" applyAlignment="1">
      <alignment horizontal="center" vertical="top"/>
    </xf>
    <xf numFmtId="168" fontId="40" fillId="33" borderId="27" xfId="45" applyNumberFormat="1" applyFont="1" applyFill="1" applyBorder="1" applyAlignment="1">
      <alignment horizontal="center" vertical="top"/>
    </xf>
    <xf numFmtId="166" fontId="25" fillId="24" borderId="33" xfId="45" applyNumberFormat="1" applyFont="1" applyFill="1" applyBorder="1" applyAlignment="1">
      <alignment horizontal="center" vertical="top"/>
    </xf>
    <xf numFmtId="2" fontId="4" fillId="24" borderId="23" xfId="45" applyNumberFormat="1" applyFont="1" applyFill="1" applyBorder="1" applyAlignment="1">
      <alignment horizontal="right" vertical="top"/>
    </xf>
    <xf numFmtId="41" fontId="25" fillId="24" borderId="15" xfId="45" applyNumberFormat="1" applyFont="1" applyFill="1" applyBorder="1" applyAlignment="1">
      <alignment horizontal="center" vertical="top"/>
    </xf>
    <xf numFmtId="9" fontId="25" fillId="24" borderId="15" xfId="45" applyNumberFormat="1" applyFont="1" applyFill="1" applyBorder="1" applyAlignment="1">
      <alignment horizontal="center" vertical="top"/>
    </xf>
    <xf numFmtId="0" fontId="25" fillId="24" borderId="15" xfId="45" applyFont="1" applyFill="1" applyBorder="1" applyAlignment="1">
      <alignment horizontal="center" vertical="top"/>
    </xf>
    <xf numFmtId="167" fontId="26" fillId="24" borderId="22" xfId="45" applyNumberFormat="1" applyFont="1" applyFill="1" applyBorder="1" applyAlignment="1">
      <alignment horizontal="center" vertical="top"/>
    </xf>
    <xf numFmtId="166" fontId="26" fillId="24" borderId="23" xfId="45" applyNumberFormat="1" applyFont="1" applyFill="1" applyBorder="1" applyAlignment="1">
      <alignment horizontal="center" vertical="top"/>
    </xf>
    <xf numFmtId="0" fontId="25" fillId="33" borderId="27" xfId="45" applyFont="1" applyFill="1" applyBorder="1" applyAlignment="1">
      <alignment horizontal="center" vertical="top" wrapText="1"/>
    </xf>
    <xf numFmtId="9" fontId="25" fillId="24" borderId="10" xfId="45" applyNumberFormat="1" applyFont="1" applyFill="1" applyBorder="1" applyAlignment="1">
      <alignment horizontal="center" vertical="top"/>
    </xf>
    <xf numFmtId="166" fontId="25" fillId="0" borderId="22" xfId="45" applyNumberFormat="1" applyFont="1" applyBorder="1" applyAlignment="1">
      <alignment horizontal="center" vertical="top"/>
    </xf>
    <xf numFmtId="168" fontId="25" fillId="0" borderId="10" xfId="45" applyNumberFormat="1" applyFont="1" applyBorder="1" applyAlignment="1">
      <alignment vertical="top"/>
    </xf>
    <xf numFmtId="0" fontId="5" fillId="0" borderId="0" xfId="45" applyAlignment="1">
      <alignment vertical="top"/>
    </xf>
    <xf numFmtId="172" fontId="25" fillId="0" borderId="53" xfId="45" applyNumberFormat="1" applyFont="1" applyBorder="1" applyAlignment="1">
      <alignment horizontal="center" vertical="top"/>
    </xf>
    <xf numFmtId="9" fontId="25" fillId="24" borderId="53" xfId="45" applyNumberFormat="1" applyFont="1" applyFill="1" applyBorder="1" applyAlignment="1">
      <alignment horizontal="center" vertical="top"/>
    </xf>
    <xf numFmtId="41" fontId="25" fillId="24" borderId="53" xfId="45" applyNumberFormat="1" applyFont="1" applyFill="1" applyBorder="1" applyAlignment="1">
      <alignment horizontal="center" vertical="top"/>
    </xf>
    <xf numFmtId="0" fontId="25" fillId="24" borderId="53" xfId="45" applyFont="1" applyFill="1" applyBorder="1" applyAlignment="1">
      <alignment horizontal="center" vertical="top"/>
    </xf>
    <xf numFmtId="168" fontId="25" fillId="24" borderId="53" xfId="45" applyNumberFormat="1" applyFont="1" applyFill="1" applyBorder="1" applyAlignment="1">
      <alignment horizontal="center" vertical="top"/>
    </xf>
    <xf numFmtId="167" fontId="25" fillId="24" borderId="54" xfId="45" applyNumberFormat="1" applyFont="1" applyFill="1" applyBorder="1" applyAlignment="1">
      <alignment horizontal="center" vertical="top"/>
    </xf>
    <xf numFmtId="166" fontId="26" fillId="24" borderId="27" xfId="45" applyNumberFormat="1" applyFont="1" applyFill="1" applyBorder="1" applyAlignment="1">
      <alignment horizontal="center" vertical="top"/>
    </xf>
    <xf numFmtId="0" fontId="25" fillId="27" borderId="17" xfId="45" applyFont="1" applyFill="1" applyBorder="1" applyAlignment="1">
      <alignment horizontal="right" vertical="top"/>
    </xf>
    <xf numFmtId="169" fontId="25" fillId="24" borderId="53" xfId="45" applyNumberFormat="1" applyFont="1" applyFill="1" applyBorder="1" applyAlignment="1">
      <alignment horizontal="center" vertical="top"/>
    </xf>
    <xf numFmtId="173" fontId="25" fillId="24" borderId="53" xfId="45" applyNumberFormat="1" applyFont="1" applyFill="1" applyBorder="1" applyAlignment="1">
      <alignment horizontal="center" vertical="top"/>
    </xf>
    <xf numFmtId="167" fontId="25" fillId="24" borderId="35" xfId="45" applyNumberFormat="1" applyFont="1" applyFill="1" applyBorder="1" applyAlignment="1">
      <alignment horizontal="center" vertical="top"/>
    </xf>
    <xf numFmtId="14" fontId="25" fillId="24" borderId="0" xfId="45" applyNumberFormat="1" applyFont="1" applyFill="1" applyAlignment="1">
      <alignment vertical="top"/>
    </xf>
    <xf numFmtId="0" fontId="26" fillId="24" borderId="0" xfId="45" applyFont="1" applyFill="1" applyAlignment="1">
      <alignment horizontal="left" vertical="top"/>
    </xf>
    <xf numFmtId="170" fontId="25" fillId="24" borderId="0" xfId="45" applyNumberFormat="1" applyFont="1" applyFill="1" applyAlignment="1">
      <alignment vertical="top"/>
    </xf>
    <xf numFmtId="2" fontId="25" fillId="0" borderId="0" xfId="45" applyNumberFormat="1" applyFont="1" applyAlignment="1">
      <alignment horizontal="right" vertical="top" wrapText="1"/>
    </xf>
    <xf numFmtId="0" fontId="25" fillId="32" borderId="0" xfId="45" applyFont="1" applyFill="1" applyAlignment="1">
      <alignment vertical="top"/>
    </xf>
    <xf numFmtId="2" fontId="26" fillId="24" borderId="15" xfId="45" applyNumberFormat="1" applyFont="1" applyFill="1" applyBorder="1" applyAlignment="1">
      <alignment horizontal="left" vertical="top" wrapText="1"/>
    </xf>
    <xf numFmtId="168" fontId="25" fillId="29" borderId="15" xfId="45" applyNumberFormat="1" applyFont="1" applyFill="1" applyBorder="1" applyAlignment="1">
      <alignment horizontal="center" vertical="top"/>
    </xf>
    <xf numFmtId="2" fontId="78" fillId="24" borderId="41" xfId="45" applyNumberFormat="1" applyFont="1" applyFill="1" applyBorder="1" applyAlignment="1">
      <alignment horizontal="right" vertical="top"/>
    </xf>
    <xf numFmtId="0" fontId="36" fillId="0" borderId="0" xfId="0" applyFont="1" applyFill="1" applyBorder="1" applyAlignment="1">
      <alignment vertical="top" wrapText="1"/>
    </xf>
    <xf numFmtId="1" fontId="25" fillId="24" borderId="10" xfId="0" applyNumberFormat="1" applyFont="1" applyFill="1" applyBorder="1" applyAlignment="1">
      <alignment horizontal="center" vertical="top"/>
    </xf>
    <xf numFmtId="1" fontId="25" fillId="24" borderId="15" xfId="0" applyNumberFormat="1" applyFont="1" applyFill="1" applyBorder="1" applyAlignment="1">
      <alignment horizontal="center" vertical="top"/>
    </xf>
    <xf numFmtId="1" fontId="40" fillId="24" borderId="10" xfId="45" applyNumberFormat="1" applyFont="1" applyFill="1" applyBorder="1" applyAlignment="1">
      <alignment horizontal="center" vertical="top" wrapText="1"/>
    </xf>
    <xf numFmtId="1" fontId="40" fillId="24" borderId="10" xfId="45" applyNumberFormat="1" applyFont="1" applyFill="1" applyBorder="1" applyAlignment="1">
      <alignment horizontal="center" vertical="top"/>
    </xf>
    <xf numFmtId="44" fontId="35" fillId="24" borderId="0" xfId="0" applyNumberFormat="1" applyFont="1" applyFill="1" applyBorder="1" applyAlignment="1">
      <alignment horizontal="left" vertical="top"/>
    </xf>
    <xf numFmtId="0" fontId="25" fillId="24" borderId="55" xfId="45" applyFont="1" applyFill="1" applyBorder="1" applyAlignment="1">
      <alignment vertical="top"/>
    </xf>
    <xf numFmtId="0" fontId="59" fillId="30" borderId="26" xfId="45" applyFont="1" applyFill="1" applyBorder="1" applyAlignment="1">
      <alignment horizontal="left" vertical="top"/>
    </xf>
    <xf numFmtId="2" fontId="60" fillId="30" borderId="17" xfId="45" applyNumberFormat="1" applyFont="1" applyFill="1" applyBorder="1" applyAlignment="1">
      <alignment horizontal="left" vertical="top" wrapText="1"/>
    </xf>
    <xf numFmtId="41" fontId="61" fillId="30" borderId="17" xfId="45" applyNumberFormat="1" applyFont="1" applyFill="1" applyBorder="1" applyAlignment="1">
      <alignment horizontal="center" vertical="top"/>
    </xf>
    <xf numFmtId="0" fontId="61" fillId="30" borderId="17" xfId="45" applyFont="1" applyFill="1" applyBorder="1" applyAlignment="1">
      <alignment horizontal="center" vertical="top"/>
    </xf>
    <xf numFmtId="168" fontId="61" fillId="30" borderId="17" xfId="45" applyNumberFormat="1" applyFont="1" applyFill="1" applyBorder="1" applyAlignment="1">
      <alignment horizontal="center" vertical="top"/>
    </xf>
    <xf numFmtId="167" fontId="61" fillId="30" borderId="27" xfId="45" applyNumberFormat="1" applyFont="1" applyFill="1" applyBorder="1" applyAlignment="1">
      <alignment horizontal="center" vertical="top"/>
    </xf>
    <xf numFmtId="0" fontId="50" fillId="31" borderId="38" xfId="45" applyFont="1" applyFill="1" applyBorder="1" applyAlignment="1">
      <alignment horizontal="left" vertical="top"/>
    </xf>
    <xf numFmtId="2" fontId="52" fillId="31" borderId="11" xfId="45" applyNumberFormat="1" applyFont="1" applyFill="1" applyBorder="1" applyAlignment="1">
      <alignment horizontal="left" vertical="top" wrapText="1"/>
    </xf>
    <xf numFmtId="41" fontId="52" fillId="31" borderId="11" xfId="45" applyNumberFormat="1" applyFont="1" applyFill="1" applyBorder="1" applyAlignment="1">
      <alignment horizontal="center" vertical="top"/>
    </xf>
    <xf numFmtId="0" fontId="52" fillId="31" borderId="11" xfId="45" applyFont="1" applyFill="1" applyBorder="1" applyAlignment="1">
      <alignment horizontal="center" vertical="top"/>
    </xf>
    <xf numFmtId="168" fontId="52" fillId="31" borderId="11" xfId="45" applyNumberFormat="1" applyFont="1" applyFill="1" applyBorder="1" applyAlignment="1">
      <alignment horizontal="center" vertical="top"/>
    </xf>
    <xf numFmtId="10" fontId="51" fillId="29" borderId="19" xfId="57" applyNumberFormat="1" applyFont="1" applyFill="1" applyBorder="1" applyAlignment="1">
      <alignment horizontal="center" vertical="top"/>
    </xf>
    <xf numFmtId="167" fontId="51" fillId="31" borderId="41" xfId="45" applyNumberFormat="1" applyFont="1" applyFill="1" applyBorder="1" applyAlignment="1">
      <alignment vertical="top"/>
    </xf>
    <xf numFmtId="167" fontId="25" fillId="24" borderId="15" xfId="45" applyNumberFormat="1" applyFont="1" applyFill="1" applyBorder="1" applyAlignment="1">
      <alignment horizontal="center" vertical="top"/>
    </xf>
    <xf numFmtId="44" fontId="41" fillId="24" borderId="0" xfId="45" applyNumberFormat="1" applyFont="1" applyFill="1" applyBorder="1" applyAlignment="1">
      <alignment vertical="top"/>
    </xf>
    <xf numFmtId="0" fontId="30" fillId="24" borderId="12" xfId="0" applyFont="1" applyFill="1" applyBorder="1" applyAlignment="1">
      <alignment vertical="top"/>
    </xf>
    <xf numFmtId="0" fontId="25" fillId="24" borderId="12" xfId="0" applyFont="1" applyFill="1" applyBorder="1" applyAlignment="1">
      <alignment vertical="top"/>
    </xf>
    <xf numFmtId="166" fontId="26" fillId="24" borderId="26" xfId="55" applyNumberFormat="1" applyFont="1" applyFill="1" applyBorder="1" applyAlignment="1">
      <alignment horizontal="center" vertical="top"/>
    </xf>
    <xf numFmtId="167" fontId="26" fillId="24" borderId="0" xfId="45" applyNumberFormat="1" applyFont="1" applyFill="1" applyBorder="1" applyAlignment="1" applyProtection="1">
      <alignment horizontal="center" vertical="top"/>
    </xf>
    <xf numFmtId="166" fontId="26" fillId="24" borderId="17" xfId="55" applyNumberFormat="1" applyFont="1" applyFill="1" applyBorder="1" applyAlignment="1">
      <alignment horizontal="center" vertical="top"/>
    </xf>
    <xf numFmtId="0" fontId="44" fillId="24" borderId="0" xfId="45" applyFont="1" applyFill="1" applyBorder="1" applyAlignment="1">
      <alignment vertical="top"/>
    </xf>
    <xf numFmtId="0" fontId="42" fillId="24" borderId="0" xfId="45" applyFont="1" applyFill="1" applyBorder="1" applyAlignment="1">
      <alignment vertical="top"/>
    </xf>
    <xf numFmtId="0" fontId="41" fillId="24" borderId="0" xfId="45" applyFont="1" applyFill="1" applyBorder="1" applyAlignment="1">
      <alignment vertical="top"/>
    </xf>
    <xf numFmtId="0" fontId="44" fillId="0" borderId="0" xfId="45" applyFont="1" applyBorder="1" applyAlignment="1">
      <alignment vertical="top"/>
    </xf>
    <xf numFmtId="0" fontId="42" fillId="0" borderId="0" xfId="45" applyFont="1" applyBorder="1" applyAlignment="1">
      <alignment vertical="top"/>
    </xf>
    <xf numFmtId="0" fontId="41" fillId="0" borderId="0" xfId="45" applyFont="1" applyBorder="1" applyAlignment="1">
      <alignment vertical="top"/>
    </xf>
    <xf numFmtId="2" fontId="44" fillId="0" borderId="0" xfId="45" applyNumberFormat="1" applyFont="1" applyBorder="1" applyAlignment="1">
      <alignment vertical="top"/>
    </xf>
    <xf numFmtId="2" fontId="42" fillId="0" borderId="0" xfId="45" applyNumberFormat="1" applyFont="1" applyBorder="1" applyAlignment="1">
      <alignment vertical="top"/>
    </xf>
    <xf numFmtId="0" fontId="47" fillId="0" borderId="0" xfId="45" applyFont="1" applyBorder="1" applyAlignment="1">
      <alignment vertical="top"/>
    </xf>
    <xf numFmtId="0" fontId="49" fillId="0" borderId="0" xfId="45" applyFont="1" applyBorder="1" applyAlignment="1">
      <alignment horizontal="right" vertical="top"/>
    </xf>
    <xf numFmtId="1" fontId="49" fillId="0" borderId="0" xfId="45" applyNumberFormat="1" applyFont="1" applyBorder="1" applyAlignment="1">
      <alignment vertical="top"/>
    </xf>
    <xf numFmtId="1" fontId="47" fillId="0" borderId="0" xfId="45" applyNumberFormat="1" applyFont="1" applyBorder="1" applyAlignment="1">
      <alignment vertical="top"/>
    </xf>
    <xf numFmtId="0" fontId="79" fillId="0" borderId="0" xfId="45" applyFont="1" applyBorder="1" applyAlignment="1">
      <alignment vertical="top"/>
    </xf>
    <xf numFmtId="2" fontId="37" fillId="30" borderId="26" xfId="45" applyNumberFormat="1" applyFont="1" applyFill="1" applyBorder="1" applyAlignment="1">
      <alignment horizontal="left" vertical="top"/>
    </xf>
    <xf numFmtId="2" fontId="37" fillId="30" borderId="17" xfId="45" applyNumberFormat="1" applyFont="1" applyFill="1" applyBorder="1" applyAlignment="1">
      <alignment horizontal="left" vertical="top"/>
    </xf>
    <xf numFmtId="2" fontId="37" fillId="30" borderId="17" xfId="45" applyNumberFormat="1" applyFont="1" applyFill="1" applyBorder="1" applyAlignment="1">
      <alignment vertical="top"/>
    </xf>
    <xf numFmtId="2" fontId="37" fillId="30" borderId="17" xfId="45" applyNumberFormat="1" applyFont="1" applyFill="1" applyBorder="1" applyAlignment="1">
      <alignment horizontal="center" vertical="top"/>
    </xf>
    <xf numFmtId="2" fontId="46" fillId="30" borderId="17" xfId="45" applyNumberFormat="1" applyFont="1" applyFill="1" applyBorder="1" applyAlignment="1">
      <alignment horizontal="center" vertical="top"/>
    </xf>
    <xf numFmtId="44" fontId="46" fillId="30" borderId="17" xfId="55" applyFont="1" applyFill="1" applyBorder="1" applyAlignment="1">
      <alignment horizontal="center" vertical="top"/>
    </xf>
    <xf numFmtId="2" fontId="37" fillId="30" borderId="27" xfId="45" applyNumberFormat="1" applyFont="1" applyFill="1" applyBorder="1" applyAlignment="1">
      <alignment horizontal="center" vertical="top"/>
    </xf>
    <xf numFmtId="0" fontId="25" fillId="0" borderId="11" xfId="45" applyFont="1" applyFill="1" applyBorder="1" applyAlignment="1">
      <alignment vertical="top"/>
    </xf>
    <xf numFmtId="2" fontId="38" fillId="24" borderId="12" xfId="45" applyNumberFormat="1" applyFont="1" applyFill="1" applyBorder="1" applyAlignment="1">
      <alignment horizontal="left" vertical="top"/>
    </xf>
    <xf numFmtId="0" fontId="39" fillId="24" borderId="23" xfId="45" applyFont="1" applyFill="1" applyBorder="1" applyAlignment="1">
      <alignment horizontal="center" vertical="top"/>
    </xf>
    <xf numFmtId="2" fontId="38" fillId="24" borderId="11" xfId="45" applyNumberFormat="1" applyFont="1" applyFill="1" applyBorder="1" applyAlignment="1">
      <alignment vertical="top"/>
    </xf>
    <xf numFmtId="0" fontId="39" fillId="24" borderId="11" xfId="45" applyFont="1" applyFill="1" applyBorder="1" applyAlignment="1">
      <alignment vertical="top"/>
    </xf>
    <xf numFmtId="2" fontId="38" fillId="24" borderId="11" xfId="45" applyNumberFormat="1" applyFont="1" applyFill="1" applyBorder="1" applyAlignment="1">
      <alignment horizontal="left" vertical="top"/>
    </xf>
    <xf numFmtId="2" fontId="38" fillId="24" borderId="41" xfId="45" applyNumberFormat="1" applyFont="1" applyFill="1" applyBorder="1" applyAlignment="1">
      <alignment vertical="top"/>
    </xf>
    <xf numFmtId="0" fontId="25" fillId="24" borderId="0" xfId="45" applyFont="1" applyFill="1" applyBorder="1" applyAlignment="1">
      <alignment vertical="top"/>
    </xf>
    <xf numFmtId="0" fontId="39" fillId="24" borderId="12" xfId="45" applyFont="1" applyFill="1" applyBorder="1" applyAlignment="1">
      <alignment horizontal="left" vertical="top"/>
    </xf>
    <xf numFmtId="2" fontId="38" fillId="24" borderId="0" xfId="45" applyNumberFormat="1" applyFont="1" applyFill="1" applyBorder="1" applyAlignment="1">
      <alignment vertical="top"/>
    </xf>
    <xf numFmtId="0" fontId="39" fillId="24" borderId="0" xfId="45" applyFont="1" applyFill="1" applyBorder="1" applyAlignment="1">
      <alignment vertical="top"/>
    </xf>
    <xf numFmtId="0" fontId="39" fillId="0" borderId="0" xfId="45" applyFont="1" applyFill="1" applyBorder="1" applyAlignment="1">
      <alignment vertical="top"/>
    </xf>
    <xf numFmtId="2" fontId="38" fillId="24" borderId="0" xfId="45" applyNumberFormat="1" applyFont="1" applyFill="1" applyBorder="1" applyAlignment="1">
      <alignment horizontal="left" vertical="top"/>
    </xf>
    <xf numFmtId="14" fontId="45" fillId="24" borderId="23" xfId="45" applyNumberFormat="1" applyFont="1" applyFill="1" applyBorder="1" applyAlignment="1">
      <alignment horizontal="left" vertical="top"/>
    </xf>
    <xf numFmtId="44" fontId="39" fillId="24" borderId="0" xfId="45" applyNumberFormat="1" applyFont="1" applyFill="1" applyBorder="1" applyAlignment="1">
      <alignment vertical="top"/>
    </xf>
    <xf numFmtId="0" fontId="38" fillId="24" borderId="12" xfId="45" applyFont="1" applyFill="1" applyBorder="1" applyAlignment="1" applyProtection="1">
      <alignment horizontal="left" vertical="top"/>
    </xf>
    <xf numFmtId="0" fontId="39" fillId="24" borderId="23" xfId="45" applyFont="1" applyFill="1" applyBorder="1" applyAlignment="1" applyProtection="1">
      <alignment horizontal="center" vertical="top"/>
    </xf>
    <xf numFmtId="166" fontId="38" fillId="24" borderId="0" xfId="55" applyNumberFormat="1" applyFont="1" applyFill="1" applyBorder="1" applyAlignment="1" applyProtection="1">
      <alignment horizontal="left" vertical="top"/>
    </xf>
    <xf numFmtId="174" fontId="80" fillId="24" borderId="14" xfId="45" applyNumberFormat="1" applyFont="1" applyFill="1" applyBorder="1" applyAlignment="1">
      <alignment vertical="top"/>
    </xf>
    <xf numFmtId="2" fontId="81" fillId="24" borderId="0" xfId="54" applyNumberFormat="1" applyFont="1" applyFill="1" applyBorder="1" applyAlignment="1">
      <alignment horizontal="center" vertical="top"/>
    </xf>
    <xf numFmtId="2" fontId="81" fillId="24" borderId="23" xfId="54" applyNumberFormat="1" applyFont="1" applyFill="1" applyBorder="1" applyAlignment="1">
      <alignment horizontal="center" vertical="top"/>
    </xf>
    <xf numFmtId="0" fontId="29" fillId="0" borderId="0" xfId="45" applyFont="1" applyFill="1" applyBorder="1" applyAlignment="1">
      <alignment horizontal="center" vertical="top" wrapText="1"/>
    </xf>
    <xf numFmtId="2" fontId="4" fillId="24" borderId="0" xfId="45" applyNumberFormat="1" applyFont="1" applyFill="1" applyBorder="1" applyAlignment="1">
      <alignment vertical="top"/>
    </xf>
    <xf numFmtId="0" fontId="25" fillId="24" borderId="16" xfId="45" applyFont="1" applyFill="1" applyBorder="1" applyAlignment="1" applyProtection="1">
      <alignment horizontal="center" vertical="top"/>
    </xf>
    <xf numFmtId="0" fontId="26" fillId="26" borderId="11" xfId="45" applyFont="1" applyFill="1" applyBorder="1" applyAlignment="1">
      <alignment horizontal="center" vertical="center"/>
    </xf>
    <xf numFmtId="0" fontId="26" fillId="26" borderId="11" xfId="45" applyFont="1" applyFill="1" applyBorder="1" applyAlignment="1">
      <alignment horizontal="left" vertical="top"/>
    </xf>
    <xf numFmtId="1" fontId="25" fillId="26" borderId="11" xfId="45" applyNumberFormat="1" applyFont="1" applyFill="1" applyBorder="1" applyAlignment="1">
      <alignment horizontal="center" vertical="top"/>
    </xf>
    <xf numFmtId="0" fontId="25" fillId="24" borderId="10" xfId="45" applyFont="1" applyFill="1" applyBorder="1" applyAlignment="1" applyProtection="1">
      <alignment horizontal="center" vertical="top"/>
    </xf>
    <xf numFmtId="0" fontId="25" fillId="24" borderId="16" xfId="45" applyFont="1" applyFill="1" applyBorder="1" applyAlignment="1" applyProtection="1">
      <alignment horizontal="center" vertical="top" wrapText="1"/>
    </xf>
    <xf numFmtId="0" fontId="25" fillId="33" borderId="26" xfId="45" applyFont="1" applyFill="1" applyBorder="1" applyAlignment="1" applyProtection="1">
      <alignment horizontal="center" vertical="top" wrapText="1"/>
    </xf>
    <xf numFmtId="2" fontId="26" fillId="33" borderId="17" xfId="45" applyNumberFormat="1" applyFont="1" applyFill="1" applyBorder="1" applyAlignment="1">
      <alignment horizontal="left" vertical="top" wrapText="1"/>
    </xf>
    <xf numFmtId="1" fontId="25" fillId="33" borderId="27" xfId="45" applyNumberFormat="1" applyFont="1" applyFill="1" applyBorder="1" applyAlignment="1">
      <alignment horizontal="center" vertical="top"/>
    </xf>
    <xf numFmtId="9" fontId="25" fillId="24" borderId="42" xfId="58" applyFont="1" applyFill="1" applyBorder="1" applyAlignment="1" applyProtection="1">
      <alignment horizontal="center" vertical="top"/>
    </xf>
    <xf numFmtId="41" fontId="25" fillId="0" borderId="10" xfId="45" applyNumberFormat="1" applyFont="1" applyFill="1" applyBorder="1" applyAlignment="1">
      <alignment horizontal="center" vertical="top"/>
    </xf>
    <xf numFmtId="0" fontId="25" fillId="0" borderId="10" xfId="45" applyFont="1" applyFill="1" applyBorder="1" applyAlignment="1">
      <alignment horizontal="center" vertical="top"/>
    </xf>
    <xf numFmtId="0" fontId="25" fillId="0" borderId="16" xfId="45" applyFont="1" applyFill="1" applyBorder="1" applyAlignment="1">
      <alignment horizontal="center" vertical="top"/>
    </xf>
    <xf numFmtId="0" fontId="25" fillId="24" borderId="15" xfId="45" applyFont="1" applyFill="1" applyBorder="1" applyAlignment="1" applyProtection="1">
      <alignment horizontal="center" vertical="top" wrapText="1"/>
    </xf>
    <xf numFmtId="0" fontId="25" fillId="24" borderId="0" xfId="45" applyFont="1" applyFill="1" applyBorder="1" applyAlignment="1" applyProtection="1">
      <alignment horizontal="center" vertical="top" wrapText="1"/>
    </xf>
    <xf numFmtId="2" fontId="26" fillId="33" borderId="13" xfId="45" applyNumberFormat="1" applyFont="1" applyFill="1" applyBorder="1" applyAlignment="1">
      <alignment horizontal="left" vertical="top" wrapText="1"/>
    </xf>
    <xf numFmtId="1" fontId="25" fillId="33" borderId="24" xfId="45" applyNumberFormat="1" applyFont="1" applyFill="1" applyBorder="1" applyAlignment="1">
      <alignment horizontal="center" vertical="top"/>
    </xf>
    <xf numFmtId="9" fontId="25" fillId="0" borderId="28" xfId="45" applyNumberFormat="1" applyFont="1" applyFill="1" applyBorder="1" applyAlignment="1">
      <alignment horizontal="center" vertical="top"/>
    </xf>
    <xf numFmtId="41" fontId="25" fillId="0" borderId="43" xfId="45" applyNumberFormat="1" applyFont="1" applyFill="1" applyBorder="1" applyAlignment="1">
      <alignment horizontal="center" vertical="top"/>
    </xf>
    <xf numFmtId="0" fontId="25" fillId="0" borderId="43" xfId="45" applyFont="1" applyFill="1" applyBorder="1" applyAlignment="1">
      <alignment horizontal="center" vertical="top"/>
    </xf>
    <xf numFmtId="167" fontId="26" fillId="0" borderId="0" xfId="45" applyNumberFormat="1" applyFont="1" applyFill="1" applyBorder="1" applyAlignment="1" applyProtection="1">
      <alignment horizontal="center" vertical="top"/>
    </xf>
    <xf numFmtId="175" fontId="82" fillId="24" borderId="10" xfId="45" applyNumberFormat="1" applyFont="1" applyFill="1" applyBorder="1" applyAlignment="1" applyProtection="1">
      <alignment horizontal="center" vertical="top" wrapText="1"/>
    </xf>
    <xf numFmtId="2" fontId="26" fillId="0" borderId="56" xfId="45" applyNumberFormat="1" applyFont="1" applyFill="1" applyBorder="1" applyAlignment="1">
      <alignment horizontal="left" vertical="top" wrapText="1"/>
    </xf>
    <xf numFmtId="1" fontId="25" fillId="0" borderId="15" xfId="45" applyNumberFormat="1" applyFont="1" applyFill="1" applyBorder="1" applyAlignment="1">
      <alignment horizontal="center" vertical="top"/>
    </xf>
    <xf numFmtId="44" fontId="25" fillId="0" borderId="10" xfId="55" applyNumberFormat="1" applyFont="1" applyFill="1" applyBorder="1" applyAlignment="1" applyProtection="1">
      <alignment horizontal="center" vertical="top"/>
    </xf>
    <xf numFmtId="166" fontId="25" fillId="0" borderId="16" xfId="45" applyNumberFormat="1" applyFont="1" applyFill="1" applyBorder="1" applyAlignment="1">
      <alignment horizontal="center" vertical="top"/>
    </xf>
    <xf numFmtId="2" fontId="25" fillId="0" borderId="57" xfId="45" applyNumberFormat="1" applyFont="1" applyFill="1" applyBorder="1" applyAlignment="1">
      <alignment horizontal="left" vertical="top" wrapText="1"/>
    </xf>
    <xf numFmtId="44" fontId="25" fillId="28" borderId="10" xfId="55" applyNumberFormat="1" applyFont="1" applyFill="1" applyBorder="1" applyAlignment="1" applyProtection="1">
      <alignment horizontal="center" vertical="top"/>
    </xf>
    <xf numFmtId="176" fontId="25" fillId="0" borderId="0" xfId="45" applyNumberFormat="1" applyFont="1" applyFill="1" applyBorder="1" applyAlignment="1">
      <alignment vertical="top"/>
    </xf>
    <xf numFmtId="44" fontId="25" fillId="0" borderId="0" xfId="45" applyNumberFormat="1" applyFont="1" applyFill="1" applyBorder="1" applyAlignment="1">
      <alignment vertical="top"/>
    </xf>
    <xf numFmtId="2" fontId="25" fillId="0" borderId="58" xfId="45" applyNumberFormat="1" applyFont="1" applyFill="1" applyBorder="1" applyAlignment="1">
      <alignment horizontal="left" vertical="top" wrapText="1"/>
    </xf>
    <xf numFmtId="1" fontId="25" fillId="0" borderId="43" xfId="45" applyNumberFormat="1" applyFont="1" applyFill="1" applyBorder="1" applyAlignment="1">
      <alignment horizontal="center" vertical="top"/>
    </xf>
    <xf numFmtId="2" fontId="26" fillId="33" borderId="26" xfId="45" applyNumberFormat="1" applyFont="1" applyFill="1" applyBorder="1" applyAlignment="1">
      <alignment horizontal="left" vertical="top" wrapText="1"/>
    </xf>
    <xf numFmtId="0" fontId="82" fillId="24" borderId="16" xfId="45" applyFont="1" applyFill="1" applyBorder="1" applyAlignment="1" applyProtection="1">
      <alignment horizontal="center" vertical="top" wrapText="1"/>
    </xf>
    <xf numFmtId="2" fontId="26" fillId="0" borderId="57" xfId="45" applyNumberFormat="1" applyFont="1" applyFill="1" applyBorder="1" applyAlignment="1">
      <alignment horizontal="left" vertical="top" wrapText="1"/>
    </xf>
    <xf numFmtId="2" fontId="25" fillId="0" borderId="15" xfId="45" applyNumberFormat="1" applyFont="1" applyFill="1" applyBorder="1" applyAlignment="1">
      <alignment horizontal="center" vertical="top"/>
    </xf>
    <xf numFmtId="177" fontId="25" fillId="0" borderId="10" xfId="45" applyNumberFormat="1" applyFont="1" applyFill="1" applyBorder="1" applyAlignment="1">
      <alignment horizontal="center" vertical="top"/>
    </xf>
    <xf numFmtId="175" fontId="26" fillId="24" borderId="10" xfId="45" applyNumberFormat="1" applyFont="1" applyFill="1" applyBorder="1" applyAlignment="1" applyProtection="1">
      <alignment horizontal="center" vertical="top" wrapText="1"/>
    </xf>
    <xf numFmtId="175" fontId="25" fillId="24" borderId="10" xfId="45" applyNumberFormat="1" applyFont="1" applyFill="1" applyBorder="1" applyAlignment="1" applyProtection="1">
      <alignment horizontal="center" vertical="top" wrapText="1"/>
    </xf>
    <xf numFmtId="164" fontId="25" fillId="0" borderId="0" xfId="45" applyNumberFormat="1" applyFont="1" applyFill="1" applyBorder="1" applyAlignment="1">
      <alignment vertical="top"/>
    </xf>
    <xf numFmtId="172" fontId="25" fillId="0" borderId="10" xfId="45" applyNumberFormat="1" applyFont="1" applyFill="1" applyBorder="1" applyAlignment="1">
      <alignment horizontal="center" vertical="top"/>
    </xf>
    <xf numFmtId="44" fontId="25" fillId="24" borderId="10" xfId="55" applyNumberFormat="1" applyFont="1" applyFill="1" applyBorder="1" applyAlignment="1" applyProtection="1">
      <alignment horizontal="center" vertical="top"/>
    </xf>
    <xf numFmtId="1" fontId="25" fillId="24" borderId="10" xfId="45" applyNumberFormat="1" applyFont="1" applyFill="1" applyBorder="1" applyAlignment="1" applyProtection="1">
      <alignment horizontal="right" vertical="top"/>
    </xf>
    <xf numFmtId="0" fontId="76" fillId="0" borderId="0" xfId="45" applyFont="1" applyFill="1" applyBorder="1" applyAlignment="1">
      <alignment vertical="top" wrapText="1"/>
    </xf>
    <xf numFmtId="41" fontId="25" fillId="24" borderId="18" xfId="45" applyNumberFormat="1" applyFont="1" applyFill="1" applyBorder="1" applyAlignment="1">
      <alignment horizontal="center" vertical="top"/>
    </xf>
    <xf numFmtId="9" fontId="25" fillId="24" borderId="18" xfId="45" applyNumberFormat="1" applyFont="1" applyFill="1" applyBorder="1" applyAlignment="1">
      <alignment horizontal="center" vertical="top"/>
    </xf>
    <xf numFmtId="0" fontId="25" fillId="24" borderId="18" xfId="45" applyFont="1" applyFill="1" applyBorder="1" applyAlignment="1">
      <alignment horizontal="center" vertical="top"/>
    </xf>
    <xf numFmtId="168" fontId="25" fillId="24" borderId="18" xfId="45" applyNumberFormat="1" applyFont="1" applyFill="1" applyBorder="1" applyAlignment="1" applyProtection="1">
      <alignment horizontal="center" vertical="top"/>
    </xf>
    <xf numFmtId="166" fontId="25" fillId="24" borderId="59" xfId="45" applyNumberFormat="1" applyFont="1" applyFill="1" applyBorder="1" applyAlignment="1">
      <alignment horizontal="center" vertical="top"/>
    </xf>
    <xf numFmtId="166" fontId="25" fillId="24" borderId="21" xfId="45" applyNumberFormat="1" applyFont="1" applyFill="1" applyBorder="1" applyAlignment="1">
      <alignment horizontal="center" vertical="top"/>
    </xf>
    <xf numFmtId="1" fontId="25" fillId="24" borderId="15" xfId="45" applyNumberFormat="1" applyFont="1" applyFill="1" applyBorder="1" applyAlignment="1" applyProtection="1">
      <alignment horizontal="right" vertical="top"/>
    </xf>
    <xf numFmtId="2" fontId="26" fillId="0" borderId="10" xfId="45" applyNumberFormat="1" applyFont="1" applyFill="1" applyBorder="1" applyAlignment="1">
      <alignment horizontal="right" vertical="top" wrapText="1"/>
    </xf>
    <xf numFmtId="1" fontId="25" fillId="0" borderId="10" xfId="45" applyNumberFormat="1" applyFont="1" applyFill="1" applyBorder="1" applyAlignment="1">
      <alignment horizontal="center" vertical="top"/>
    </xf>
    <xf numFmtId="9" fontId="25" fillId="0" borderId="15" xfId="45" applyNumberFormat="1" applyFont="1" applyFill="1" applyBorder="1" applyAlignment="1">
      <alignment horizontal="center" vertical="top"/>
    </xf>
    <xf numFmtId="168" fontId="25" fillId="0" borderId="10" xfId="45" applyNumberFormat="1" applyFont="1" applyFill="1" applyBorder="1" applyAlignment="1" applyProtection="1">
      <alignment horizontal="center" vertical="top"/>
    </xf>
    <xf numFmtId="2" fontId="49" fillId="0" borderId="10" xfId="45" applyNumberFormat="1" applyFont="1" applyFill="1" applyBorder="1" applyAlignment="1">
      <alignment horizontal="left" vertical="top" wrapText="1"/>
    </xf>
    <xf numFmtId="0" fontId="25" fillId="0" borderId="23" xfId="45" applyFont="1" applyFill="1" applyBorder="1" applyAlignment="1">
      <alignment vertical="top"/>
    </xf>
    <xf numFmtId="0" fontId="25" fillId="0" borderId="39" xfId="45" applyFont="1" applyFill="1" applyBorder="1" applyAlignment="1" applyProtection="1">
      <alignment horizontal="center" vertical="top"/>
    </xf>
    <xf numFmtId="1" fontId="26" fillId="0" borderId="31" xfId="45" applyNumberFormat="1" applyFont="1" applyFill="1" applyBorder="1" applyAlignment="1">
      <alignment horizontal="left" vertical="top"/>
    </xf>
    <xf numFmtId="0" fontId="25" fillId="0" borderId="31" xfId="45" applyFont="1" applyFill="1" applyBorder="1" applyAlignment="1">
      <alignment horizontal="left" vertical="top" wrapText="1"/>
    </xf>
    <xf numFmtId="1" fontId="25" fillId="0" borderId="31" xfId="45" applyNumberFormat="1" applyFont="1" applyFill="1" applyBorder="1" applyAlignment="1">
      <alignment horizontal="center" vertical="top"/>
    </xf>
    <xf numFmtId="41" fontId="25" fillId="0" borderId="31" xfId="45" applyNumberFormat="1" applyFont="1" applyFill="1" applyBorder="1" applyAlignment="1">
      <alignment horizontal="right" vertical="top"/>
    </xf>
    <xf numFmtId="0" fontId="25" fillId="0" borderId="31" xfId="45" applyFont="1" applyFill="1" applyBorder="1" applyAlignment="1">
      <alignment horizontal="center" vertical="top"/>
    </xf>
    <xf numFmtId="44" fontId="25" fillId="0" borderId="31" xfId="55" applyFont="1" applyFill="1" applyBorder="1" applyAlignment="1">
      <alignment horizontal="center" vertical="top"/>
    </xf>
    <xf numFmtId="165" fontId="25" fillId="0" borderId="35" xfId="45" applyNumberFormat="1" applyFont="1" applyBorder="1" applyAlignment="1">
      <alignment vertical="top"/>
    </xf>
    <xf numFmtId="0" fontId="30" fillId="24" borderId="23" xfId="45" applyFont="1" applyFill="1" applyBorder="1" applyAlignment="1">
      <alignment vertical="top"/>
    </xf>
    <xf numFmtId="0" fontId="25" fillId="0" borderId="0" xfId="45" applyFont="1" applyBorder="1" applyAlignment="1">
      <alignment vertical="top"/>
    </xf>
    <xf numFmtId="1" fontId="27" fillId="30" borderId="38" xfId="45" applyNumberFormat="1" applyFont="1" applyFill="1" applyBorder="1" applyAlignment="1">
      <alignment horizontal="left" vertical="top"/>
    </xf>
    <xf numFmtId="1" fontId="27" fillId="30" borderId="11" xfId="45" applyNumberFormat="1" applyFont="1" applyFill="1" applyBorder="1" applyAlignment="1">
      <alignment horizontal="left" vertical="top"/>
    </xf>
    <xf numFmtId="0" fontId="29" fillId="30" borderId="11" xfId="45" applyFont="1" applyFill="1" applyBorder="1" applyAlignment="1">
      <alignment horizontal="left" vertical="top" wrapText="1"/>
    </xf>
    <xf numFmtId="1" fontId="29" fillId="30" borderId="11" xfId="45" applyNumberFormat="1" applyFont="1" applyFill="1" applyBorder="1" applyAlignment="1">
      <alignment horizontal="center" vertical="top"/>
    </xf>
    <xf numFmtId="41" fontId="29" fillId="30" borderId="11" xfId="45" applyNumberFormat="1" applyFont="1" applyFill="1" applyBorder="1" applyAlignment="1">
      <alignment horizontal="right" vertical="top"/>
    </xf>
    <xf numFmtId="0" fontId="29" fillId="30" borderId="11" xfId="45" applyFont="1" applyFill="1" applyBorder="1" applyAlignment="1">
      <alignment horizontal="center" vertical="top"/>
    </xf>
    <xf numFmtId="44" fontId="29" fillId="30" borderId="11" xfId="55" applyFont="1" applyFill="1" applyBorder="1" applyAlignment="1">
      <alignment horizontal="center" vertical="top"/>
    </xf>
    <xf numFmtId="166" fontId="27" fillId="30" borderId="11" xfId="45" applyNumberFormat="1" applyFont="1" applyFill="1" applyBorder="1" applyAlignment="1">
      <alignment horizontal="left" vertical="top"/>
    </xf>
    <xf numFmtId="166" fontId="27" fillId="30" borderId="41" xfId="45" applyNumberFormat="1" applyFont="1" applyFill="1" applyBorder="1" applyAlignment="1">
      <alignment horizontal="left" vertical="top"/>
    </xf>
    <xf numFmtId="44" fontId="25" fillId="0" borderId="0" xfId="45" applyNumberFormat="1" applyFont="1" applyBorder="1" applyAlignment="1">
      <alignment vertical="top"/>
    </xf>
    <xf numFmtId="1" fontId="27" fillId="30" borderId="13" xfId="45" applyNumberFormat="1" applyFont="1" applyFill="1" applyBorder="1" applyAlignment="1">
      <alignment horizontal="left" vertical="top"/>
    </xf>
    <xf numFmtId="0" fontId="29" fillId="30" borderId="14" xfId="45" applyFont="1" applyFill="1" applyBorder="1" applyAlignment="1">
      <alignment horizontal="center" vertical="top"/>
    </xf>
    <xf numFmtId="2" fontId="29" fillId="30" borderId="14" xfId="45" applyNumberFormat="1" applyFont="1" applyFill="1" applyBorder="1" applyAlignment="1">
      <alignment horizontal="left" vertical="top" wrapText="1"/>
    </xf>
    <xf numFmtId="1" fontId="29" fillId="30" borderId="14" xfId="45" applyNumberFormat="1" applyFont="1" applyFill="1" applyBorder="1" applyAlignment="1">
      <alignment horizontal="center" vertical="top"/>
    </xf>
    <xf numFmtId="2" fontId="29" fillId="30" borderId="14" xfId="45" applyNumberFormat="1" applyFont="1" applyFill="1" applyBorder="1" applyAlignment="1">
      <alignment horizontal="center" vertical="top" wrapText="1"/>
    </xf>
    <xf numFmtId="44" fontId="29" fillId="30" borderId="14" xfId="55" applyFont="1" applyFill="1" applyBorder="1" applyAlignment="1">
      <alignment horizontal="center" vertical="top"/>
    </xf>
    <xf numFmtId="166" fontId="27" fillId="30" borderId="14" xfId="45" applyNumberFormat="1" applyFont="1" applyFill="1" applyBorder="1" applyAlignment="1">
      <alignment horizontal="left" vertical="top"/>
    </xf>
    <xf numFmtId="166" fontId="27" fillId="30" borderId="24" xfId="45" applyNumberFormat="1" applyFont="1" applyFill="1" applyBorder="1" applyAlignment="1">
      <alignment horizontal="left" vertical="top"/>
    </xf>
    <xf numFmtId="0" fontId="35" fillId="0" borderId="13" xfId="45" applyFont="1" applyBorder="1" applyAlignment="1">
      <alignment horizontal="left" vertical="top"/>
    </xf>
    <xf numFmtId="0" fontId="25" fillId="0" borderId="14" xfId="45" applyFont="1" applyBorder="1" applyAlignment="1">
      <alignment horizontal="center" vertical="top"/>
    </xf>
    <xf numFmtId="2" fontId="25" fillId="0" borderId="14" xfId="45" applyNumberFormat="1" applyFont="1" applyBorder="1" applyAlignment="1">
      <alignment horizontal="left" vertical="top" wrapText="1"/>
    </xf>
    <xf numFmtId="1" fontId="25" fillId="0" borderId="14" xfId="45" applyNumberFormat="1" applyFont="1" applyBorder="1" applyAlignment="1">
      <alignment horizontal="center" vertical="top" wrapText="1"/>
    </xf>
    <xf numFmtId="2" fontId="25" fillId="0" borderId="14" xfId="45" applyNumberFormat="1" applyFont="1" applyBorder="1" applyAlignment="1">
      <alignment horizontal="center" vertical="top" wrapText="1"/>
    </xf>
    <xf numFmtId="44" fontId="25" fillId="0" borderId="14" xfId="55" applyFont="1" applyBorder="1" applyAlignment="1">
      <alignment horizontal="center" vertical="top"/>
    </xf>
    <xf numFmtId="165" fontId="25" fillId="0" borderId="14" xfId="45" applyNumberFormat="1" applyFont="1" applyBorder="1" applyAlignment="1">
      <alignment vertical="top"/>
    </xf>
    <xf numFmtId="0" fontId="25" fillId="24" borderId="24" xfId="45" applyFont="1" applyFill="1" applyBorder="1" applyAlignment="1">
      <alignment vertical="top"/>
    </xf>
    <xf numFmtId="0" fontId="25" fillId="0" borderId="0" xfId="45" applyFont="1" applyBorder="1" applyAlignment="1">
      <alignment horizontal="center" vertical="top"/>
    </xf>
    <xf numFmtId="2" fontId="25" fillId="0" borderId="0" xfId="45" applyNumberFormat="1" applyFont="1" applyBorder="1" applyAlignment="1">
      <alignment horizontal="left" vertical="top" wrapText="1"/>
    </xf>
    <xf numFmtId="1" fontId="25" fillId="0" borderId="0" xfId="45" applyNumberFormat="1" applyFont="1" applyBorder="1" applyAlignment="1">
      <alignment horizontal="center" vertical="top" wrapText="1"/>
    </xf>
    <xf numFmtId="2" fontId="25" fillId="0" borderId="0" xfId="45" applyNumberFormat="1" applyFont="1" applyBorder="1" applyAlignment="1">
      <alignment horizontal="center" vertical="top" wrapText="1"/>
    </xf>
    <xf numFmtId="44" fontId="25" fillId="0" borderId="0" xfId="55" applyFont="1" applyBorder="1" applyAlignment="1">
      <alignment horizontal="center" vertical="top"/>
    </xf>
    <xf numFmtId="165" fontId="25" fillId="0" borderId="0" xfId="45" applyNumberFormat="1" applyFont="1" applyBorder="1" applyAlignment="1">
      <alignment vertical="top"/>
    </xf>
    <xf numFmtId="2" fontId="25" fillId="24" borderId="15" xfId="0" applyNumberFormat="1" applyFont="1" applyFill="1" applyBorder="1" applyAlignment="1">
      <alignment horizontal="left" vertical="top" wrapText="1"/>
    </xf>
    <xf numFmtId="1" fontId="25" fillId="24" borderId="10" xfId="0" applyNumberFormat="1" applyFont="1" applyFill="1" applyBorder="1" applyAlignment="1" applyProtection="1">
      <alignment horizontal="center" vertical="top"/>
    </xf>
    <xf numFmtId="2" fontId="25" fillId="0" borderId="30" xfId="0" applyNumberFormat="1" applyFont="1" applyFill="1" applyBorder="1" applyAlignment="1">
      <alignment horizontal="left" vertical="top" wrapText="1"/>
    </xf>
    <xf numFmtId="1" fontId="82" fillId="24" borderId="15" xfId="0" applyNumberFormat="1" applyFont="1" applyFill="1" applyBorder="1" applyAlignment="1" applyProtection="1">
      <alignment horizontal="center" vertical="top" wrapText="1"/>
    </xf>
    <xf numFmtId="1" fontId="36" fillId="24" borderId="15" xfId="0" applyNumberFormat="1" applyFont="1" applyFill="1" applyBorder="1" applyAlignment="1" applyProtection="1">
      <alignment horizontal="center" vertical="top" wrapText="1"/>
    </xf>
    <xf numFmtId="0" fontId="36" fillId="24" borderId="10" xfId="0" applyFont="1" applyFill="1" applyBorder="1" applyAlignment="1" applyProtection="1">
      <alignment horizontal="center" vertical="top" wrapText="1"/>
    </xf>
    <xf numFmtId="0" fontId="25" fillId="24" borderId="31" xfId="45" applyFont="1" applyFill="1" applyBorder="1" applyAlignment="1" applyProtection="1">
      <alignment horizontal="center" vertical="top" wrapText="1"/>
    </xf>
    <xf numFmtId="0" fontId="25" fillId="24" borderId="43" xfId="45" applyFont="1" applyFill="1" applyBorder="1" applyAlignment="1">
      <alignment horizontal="center" vertical="top" wrapText="1"/>
    </xf>
    <xf numFmtId="1" fontId="40" fillId="24" borderId="31" xfId="45" applyNumberFormat="1" applyFont="1" applyFill="1" applyBorder="1" applyAlignment="1">
      <alignment horizontal="right" vertical="top"/>
    </xf>
    <xf numFmtId="2" fontId="25" fillId="24" borderId="43" xfId="45" applyNumberFormat="1" applyFont="1" applyFill="1" applyBorder="1" applyAlignment="1">
      <alignment horizontal="left" vertical="top" wrapText="1"/>
    </xf>
    <xf numFmtId="1" fontId="25" fillId="24" borderId="43" xfId="45" applyNumberFormat="1" applyFont="1" applyFill="1" applyBorder="1" applyAlignment="1">
      <alignment horizontal="center" vertical="top"/>
    </xf>
    <xf numFmtId="9" fontId="25" fillId="24" borderId="31" xfId="58" applyFont="1" applyFill="1" applyBorder="1" applyAlignment="1" applyProtection="1">
      <alignment horizontal="center" vertical="top"/>
    </xf>
    <xf numFmtId="41" fontId="25" fillId="24" borderId="31" xfId="45" applyNumberFormat="1" applyFont="1" applyFill="1" applyBorder="1" applyAlignment="1">
      <alignment horizontal="center" vertical="top"/>
    </xf>
    <xf numFmtId="168" fontId="25" fillId="24" borderId="43" xfId="45" applyNumberFormat="1" applyFont="1" applyFill="1" applyBorder="1" applyAlignment="1">
      <alignment horizontal="center" vertical="top"/>
    </xf>
    <xf numFmtId="166" fontId="25" fillId="24" borderId="47" xfId="55" applyNumberFormat="1" applyFont="1" applyFill="1" applyBorder="1" applyAlignment="1">
      <alignment horizontal="center" vertical="top"/>
    </xf>
    <xf numFmtId="1" fontId="27" fillId="30" borderId="13" xfId="0" applyNumberFormat="1" applyFont="1" applyFill="1" applyBorder="1" applyAlignment="1">
      <alignment horizontal="left" vertical="top"/>
    </xf>
    <xf numFmtId="44" fontId="29" fillId="30" borderId="14" xfId="55" applyNumberFormat="1" applyFont="1" applyFill="1" applyBorder="1" applyAlignment="1">
      <alignment horizontal="center" vertical="top"/>
    </xf>
    <xf numFmtId="166" fontId="27" fillId="30" borderId="14" xfId="0" applyNumberFormat="1" applyFont="1" applyFill="1" applyBorder="1" applyAlignment="1">
      <alignment horizontal="left" vertical="top"/>
    </xf>
    <xf numFmtId="166" fontId="27" fillId="30" borderId="24" xfId="0" applyNumberFormat="1" applyFont="1" applyFill="1" applyBorder="1" applyAlignment="1">
      <alignment horizontal="left" vertical="top"/>
    </xf>
    <xf numFmtId="1" fontId="27" fillId="30" borderId="26" xfId="0" applyNumberFormat="1" applyFont="1" applyFill="1" applyBorder="1" applyAlignment="1">
      <alignment horizontal="left" vertical="top"/>
    </xf>
    <xf numFmtId="1" fontId="27" fillId="30" borderId="17" xfId="0" applyNumberFormat="1" applyFont="1" applyFill="1" applyBorder="1" applyAlignment="1">
      <alignment horizontal="left" vertical="top" wrapText="1"/>
    </xf>
    <xf numFmtId="1" fontId="27" fillId="30" borderId="17" xfId="0" applyNumberFormat="1" applyFont="1" applyFill="1" applyBorder="1" applyAlignment="1">
      <alignment horizontal="left" vertical="top"/>
    </xf>
    <xf numFmtId="0" fontId="29" fillId="30" borderId="17" xfId="0" applyFont="1" applyFill="1" applyBorder="1" applyAlignment="1">
      <alignment horizontal="left" vertical="top" wrapText="1"/>
    </xf>
    <xf numFmtId="1" fontId="29" fillId="30" borderId="17" xfId="0" applyNumberFormat="1" applyFont="1" applyFill="1" applyBorder="1" applyAlignment="1">
      <alignment horizontal="center" vertical="top"/>
    </xf>
    <xf numFmtId="41" fontId="29" fillId="30" borderId="17" xfId="0" applyNumberFormat="1" applyFont="1" applyFill="1" applyBorder="1" applyAlignment="1">
      <alignment horizontal="right" vertical="top"/>
    </xf>
    <xf numFmtId="0" fontId="29" fillId="30" borderId="17" xfId="0" applyFont="1" applyFill="1" applyBorder="1" applyAlignment="1">
      <alignment horizontal="center" vertical="top"/>
    </xf>
    <xf numFmtId="166" fontId="27" fillId="30" borderId="17" xfId="0" applyNumberFormat="1" applyFont="1" applyFill="1" applyBorder="1" applyAlignment="1">
      <alignment horizontal="left" vertical="top"/>
    </xf>
    <xf numFmtId="0" fontId="25" fillId="34" borderId="13" xfId="45" applyFont="1" applyFill="1" applyBorder="1" applyAlignment="1" applyProtection="1">
      <alignment horizontal="center" vertical="top"/>
    </xf>
    <xf numFmtId="0" fontId="25" fillId="34" borderId="14" xfId="0" applyFont="1" applyFill="1" applyBorder="1" applyAlignment="1" applyProtection="1">
      <alignment horizontal="center" vertical="top" wrapText="1"/>
    </xf>
    <xf numFmtId="0" fontId="26" fillId="34" borderId="14" xfId="0" applyFont="1" applyFill="1" applyBorder="1" applyAlignment="1" applyProtection="1">
      <alignment horizontal="center" vertical="top" wrapText="1"/>
    </xf>
    <xf numFmtId="2" fontId="26" fillId="34" borderId="14" xfId="0" applyNumberFormat="1" applyFont="1" applyFill="1" applyBorder="1" applyAlignment="1">
      <alignment horizontal="left" vertical="top" wrapText="1"/>
    </xf>
    <xf numFmtId="1" fontId="25" fillId="34" borderId="14" xfId="0" applyNumberFormat="1" applyFont="1" applyFill="1" applyBorder="1" applyAlignment="1">
      <alignment horizontal="center" vertical="top"/>
    </xf>
    <xf numFmtId="9" fontId="25" fillId="34" borderId="14" xfId="0" applyNumberFormat="1" applyFont="1" applyFill="1" applyBorder="1" applyAlignment="1">
      <alignment horizontal="center" vertical="top"/>
    </xf>
    <xf numFmtId="41" fontId="25" fillId="34" borderId="14" xfId="0" applyNumberFormat="1" applyFont="1" applyFill="1" applyBorder="1" applyAlignment="1">
      <alignment horizontal="center" vertical="top"/>
    </xf>
    <xf numFmtId="0" fontId="25" fillId="34" borderId="14" xfId="0" applyFont="1" applyFill="1" applyBorder="1" applyAlignment="1">
      <alignment horizontal="center" vertical="top"/>
    </xf>
    <xf numFmtId="44" fontId="25" fillId="34" borderId="14" xfId="55" applyNumberFormat="1" applyFont="1" applyFill="1" applyBorder="1" applyAlignment="1">
      <alignment horizontal="center" vertical="top"/>
    </xf>
    <xf numFmtId="167" fontId="26" fillId="34" borderId="14" xfId="0" applyNumberFormat="1" applyFont="1" applyFill="1" applyBorder="1" applyAlignment="1" applyProtection="1">
      <alignment horizontal="center" vertical="top"/>
    </xf>
    <xf numFmtId="0" fontId="30" fillId="34" borderId="24" xfId="0" applyFont="1" applyFill="1" applyBorder="1" applyAlignment="1">
      <alignment vertical="top"/>
    </xf>
    <xf numFmtId="44" fontId="29" fillId="30" borderId="14" xfId="56" applyNumberFormat="1" applyFont="1" applyFill="1" applyBorder="1" applyAlignment="1">
      <alignment horizontal="center" vertical="top"/>
    </xf>
    <xf numFmtId="0" fontId="51" fillId="24" borderId="20" xfId="45" applyFont="1" applyFill="1" applyBorder="1" applyAlignment="1">
      <alignment horizontal="left" vertical="top"/>
    </xf>
    <xf numFmtId="166" fontId="51" fillId="24" borderId="0" xfId="55" applyNumberFormat="1" applyFont="1" applyFill="1" applyBorder="1" applyAlignment="1" applyProtection="1">
      <alignment horizontal="left" vertical="top"/>
    </xf>
    <xf numFmtId="0" fontId="52" fillId="24" borderId="0" xfId="45" applyFont="1" applyFill="1" applyBorder="1" applyAlignment="1">
      <alignment horizontal="center" vertical="top"/>
    </xf>
    <xf numFmtId="0" fontId="25" fillId="0" borderId="60" xfId="45" applyFont="1" applyFill="1" applyBorder="1" applyAlignment="1">
      <alignment horizontal="center" vertical="top"/>
    </xf>
    <xf numFmtId="2" fontId="52" fillId="0" borderId="43" xfId="45" applyNumberFormat="1" applyFont="1" applyBorder="1" applyAlignment="1">
      <alignment horizontal="left" vertical="top" wrapText="1"/>
    </xf>
    <xf numFmtId="41" fontId="52" fillId="0" borderId="43" xfId="45" applyNumberFormat="1" applyFont="1" applyFill="1" applyBorder="1" applyAlignment="1">
      <alignment horizontal="center" vertical="top"/>
    </xf>
    <xf numFmtId="0" fontId="52" fillId="0" borderId="43" xfId="45" applyFont="1" applyBorder="1" applyAlignment="1">
      <alignment horizontal="center" vertical="top"/>
    </xf>
    <xf numFmtId="0" fontId="25" fillId="24" borderId="61" xfId="45" applyFont="1" applyFill="1" applyBorder="1" applyAlignment="1">
      <alignment vertical="top"/>
    </xf>
    <xf numFmtId="0" fontId="27" fillId="30" borderId="26" xfId="45" applyFont="1" applyFill="1" applyBorder="1" applyAlignment="1">
      <alignment horizontal="center" vertical="top" wrapText="1"/>
    </xf>
    <xf numFmtId="2" fontId="27" fillId="30" borderId="17" xfId="45" applyNumberFormat="1" applyFont="1" applyFill="1" applyBorder="1" applyAlignment="1">
      <alignment horizontal="center" vertical="top" wrapText="1"/>
    </xf>
    <xf numFmtId="0" fontId="27" fillId="30" borderId="17" xfId="45" applyFont="1" applyFill="1" applyBorder="1" applyAlignment="1">
      <alignment horizontal="center" vertical="top" wrapText="1"/>
    </xf>
    <xf numFmtId="165" fontId="27" fillId="30" borderId="17" xfId="45" applyNumberFormat="1" applyFont="1" applyFill="1" applyBorder="1" applyAlignment="1">
      <alignment horizontal="center" vertical="top" wrapText="1"/>
    </xf>
    <xf numFmtId="165" fontId="27" fillId="30" borderId="27" xfId="45" applyNumberFormat="1" applyFont="1" applyFill="1" applyBorder="1" applyAlignment="1">
      <alignment horizontal="center" vertical="top" wrapText="1"/>
    </xf>
    <xf numFmtId="2" fontId="59" fillId="30" borderId="48" xfId="45" applyNumberFormat="1" applyFont="1" applyFill="1" applyBorder="1" applyAlignment="1">
      <alignment horizontal="left" vertical="top"/>
    </xf>
    <xf numFmtId="2" fontId="59" fillId="30" borderId="11" xfId="59" applyNumberFormat="1" applyFont="1" applyFill="1" applyBorder="1" applyAlignment="1">
      <alignment horizontal="left" vertical="top"/>
    </xf>
    <xf numFmtId="2" fontId="59" fillId="30" borderId="11" xfId="45" applyNumberFormat="1" applyFont="1" applyFill="1" applyBorder="1" applyAlignment="1">
      <alignment horizontal="left" vertical="top"/>
    </xf>
    <xf numFmtId="2" fontId="62" fillId="30" borderId="11" xfId="45" applyNumberFormat="1" applyFont="1" applyFill="1" applyBorder="1" applyAlignment="1">
      <alignment horizontal="center" vertical="top"/>
    </xf>
    <xf numFmtId="165" fontId="62" fillId="30" borderId="11" xfId="45" applyNumberFormat="1" applyFont="1" applyFill="1" applyBorder="1" applyAlignment="1">
      <alignment horizontal="center" vertical="top"/>
    </xf>
    <xf numFmtId="165" fontId="59" fillId="30" borderId="41" xfId="45" applyNumberFormat="1" applyFont="1" applyFill="1" applyBorder="1" applyAlignment="1">
      <alignment horizontal="right" vertical="top"/>
    </xf>
    <xf numFmtId="14" fontId="40" fillId="24" borderId="0" xfId="45" applyNumberFormat="1" applyFont="1" applyFill="1" applyBorder="1" applyAlignment="1">
      <alignment horizontal="left" vertical="top"/>
    </xf>
    <xf numFmtId="0" fontId="25" fillId="0" borderId="60" xfId="45" applyFont="1" applyBorder="1" applyAlignment="1">
      <alignment horizontal="center" vertical="top"/>
    </xf>
    <xf numFmtId="44" fontId="74" fillId="0" borderId="43" xfId="55" applyFont="1" applyFill="1" applyBorder="1" applyAlignment="1" applyProtection="1">
      <alignment horizontal="center" vertical="top"/>
    </xf>
    <xf numFmtId="166" fontId="74" fillId="0" borderId="47" xfId="55" applyNumberFormat="1" applyFont="1" applyFill="1" applyBorder="1" applyAlignment="1">
      <alignment horizontal="center" vertical="top"/>
    </xf>
    <xf numFmtId="165" fontId="38" fillId="24" borderId="0" xfId="45" applyNumberFormat="1" applyFont="1" applyFill="1" applyBorder="1" applyAlignment="1">
      <alignment horizontal="left" vertical="top"/>
    </xf>
    <xf numFmtId="0" fontId="35" fillId="0" borderId="12" xfId="0" applyFont="1" applyBorder="1" applyAlignment="1">
      <alignment horizontal="left" vertical="top"/>
    </xf>
    <xf numFmtId="2" fontId="32" fillId="30" borderId="26" xfId="45" applyNumberFormat="1" applyFont="1" applyFill="1" applyBorder="1" applyAlignment="1">
      <alignment horizontal="left" vertical="top"/>
    </xf>
    <xf numFmtId="2" fontId="32" fillId="30" borderId="17" xfId="45" applyNumberFormat="1" applyFont="1" applyFill="1" applyBorder="1" applyAlignment="1">
      <alignment horizontal="left" vertical="top"/>
    </xf>
    <xf numFmtId="2" fontId="32" fillId="30" borderId="17" xfId="45" applyNumberFormat="1" applyFont="1" applyFill="1" applyBorder="1" applyAlignment="1">
      <alignment vertical="top"/>
    </xf>
    <xf numFmtId="2" fontId="32" fillId="30" borderId="17" xfId="45" applyNumberFormat="1" applyFont="1" applyFill="1" applyBorder="1" applyAlignment="1">
      <alignment horizontal="center" vertical="top"/>
    </xf>
    <xf numFmtId="2" fontId="29" fillId="30" borderId="17" xfId="45" applyNumberFormat="1" applyFont="1" applyFill="1" applyBorder="1" applyAlignment="1">
      <alignment horizontal="center" vertical="top"/>
    </xf>
    <xf numFmtId="44" fontId="29" fillId="30" borderId="17" xfId="55" applyFont="1" applyFill="1" applyBorder="1" applyAlignment="1">
      <alignment horizontal="center" vertical="top"/>
    </xf>
    <xf numFmtId="2" fontId="32" fillId="30" borderId="27" xfId="45" applyNumberFormat="1" applyFont="1" applyFill="1" applyBorder="1" applyAlignment="1">
      <alignment horizontal="center" vertical="top"/>
    </xf>
    <xf numFmtId="0" fontId="25" fillId="0" borderId="11" xfId="45" applyFont="1" applyBorder="1" applyAlignment="1">
      <alignment vertical="top"/>
    </xf>
    <xf numFmtId="2" fontId="4" fillId="24" borderId="12" xfId="45" applyNumberFormat="1" applyFont="1" applyFill="1" applyBorder="1" applyAlignment="1">
      <alignment horizontal="left" vertical="top"/>
    </xf>
    <xf numFmtId="0" fontId="26" fillId="24" borderId="11" xfId="45" applyFont="1" applyFill="1" applyBorder="1" applyAlignment="1">
      <alignment horizontal="left" vertical="top"/>
    </xf>
    <xf numFmtId="0" fontId="25" fillId="24" borderId="11" xfId="45" applyFont="1" applyFill="1" applyBorder="1" applyAlignment="1">
      <alignment vertical="top"/>
    </xf>
    <xf numFmtId="14" fontId="84" fillId="24" borderId="23" xfId="45" applyNumberFormat="1" applyFont="1" applyFill="1" applyBorder="1" applyAlignment="1">
      <alignment horizontal="left" vertical="top"/>
    </xf>
    <xf numFmtId="0" fontId="25" fillId="24" borderId="12" xfId="45" applyFont="1" applyFill="1" applyBorder="1" applyAlignment="1">
      <alignment horizontal="left" vertical="top"/>
    </xf>
    <xf numFmtId="2" fontId="4" fillId="24" borderId="0" xfId="45" applyNumberFormat="1" applyFont="1" applyFill="1" applyAlignment="1">
      <alignment vertical="top"/>
    </xf>
    <xf numFmtId="44" fontId="25" fillId="24" borderId="0" xfId="45" applyNumberFormat="1" applyFont="1" applyFill="1" applyAlignment="1">
      <alignment vertical="top"/>
    </xf>
    <xf numFmtId="2" fontId="28" fillId="24" borderId="0" xfId="54" applyNumberFormat="1" applyFont="1" applyFill="1" applyBorder="1" applyAlignment="1">
      <alignment horizontal="center" vertical="top"/>
    </xf>
    <xf numFmtId="2" fontId="28" fillId="24" borderId="23" xfId="54" applyNumberFormat="1" applyFont="1" applyFill="1" applyBorder="1" applyAlignment="1">
      <alignment horizontal="left" vertical="top"/>
    </xf>
    <xf numFmtId="0" fontId="26" fillId="24" borderId="12" xfId="45" applyFont="1" applyFill="1" applyBorder="1" applyAlignment="1">
      <alignment horizontal="left" vertical="top"/>
    </xf>
    <xf numFmtId="174" fontId="25" fillId="24" borderId="14" xfId="45" applyNumberFormat="1" applyFont="1" applyFill="1" applyBorder="1" applyAlignment="1">
      <alignment vertical="top"/>
    </xf>
    <xf numFmtId="166" fontId="25" fillId="24" borderId="0" xfId="45" applyNumberFormat="1" applyFont="1" applyFill="1" applyAlignment="1">
      <alignment vertical="top"/>
    </xf>
    <xf numFmtId="164" fontId="25" fillId="0" borderId="0" xfId="45" applyNumberFormat="1" applyFont="1" applyAlignment="1">
      <alignment vertical="top"/>
    </xf>
    <xf numFmtId="1" fontId="27" fillId="30" borderId="17" xfId="45" applyNumberFormat="1" applyFont="1" applyFill="1" applyBorder="1" applyAlignment="1">
      <alignment horizontal="center" vertical="top" wrapText="1"/>
    </xf>
    <xf numFmtId="0" fontId="25" fillId="0" borderId="25" xfId="45" applyFont="1" applyBorder="1" applyAlignment="1">
      <alignment horizontal="center" vertical="top"/>
    </xf>
    <xf numFmtId="0" fontId="25" fillId="24" borderId="16" xfId="45" applyFont="1" applyFill="1" applyBorder="1" applyAlignment="1">
      <alignment horizontal="center" vertical="top"/>
    </xf>
    <xf numFmtId="44" fontId="25" fillId="26" borderId="17" xfId="55" applyFont="1" applyFill="1" applyBorder="1" applyAlignment="1">
      <alignment vertical="top"/>
    </xf>
    <xf numFmtId="167" fontId="26" fillId="24" borderId="48" xfId="45" applyNumberFormat="1" applyFont="1" applyFill="1" applyBorder="1" applyAlignment="1">
      <alignment horizontal="center" vertical="top"/>
    </xf>
    <xf numFmtId="9" fontId="25" fillId="0" borderId="28" xfId="45" applyNumberFormat="1" applyFont="1" applyBorder="1" applyAlignment="1">
      <alignment horizontal="center" vertical="top"/>
    </xf>
    <xf numFmtId="41" fontId="25" fillId="0" borderId="43" xfId="45" applyNumberFormat="1" applyFont="1" applyBorder="1" applyAlignment="1">
      <alignment horizontal="center" vertical="top"/>
    </xf>
    <xf numFmtId="0" fontId="25" fillId="0" borderId="43" xfId="45" applyFont="1" applyBorder="1" applyAlignment="1">
      <alignment horizontal="center" vertical="top"/>
    </xf>
    <xf numFmtId="44" fontId="25" fillId="0" borderId="43" xfId="55" applyFont="1" applyFill="1" applyBorder="1" applyAlignment="1">
      <alignment horizontal="center" vertical="top"/>
    </xf>
    <xf numFmtId="167" fontId="26" fillId="24" borderId="20" xfId="45" applyNumberFormat="1" applyFont="1" applyFill="1" applyBorder="1" applyAlignment="1">
      <alignment horizontal="center" vertical="top"/>
    </xf>
    <xf numFmtId="0" fontId="25" fillId="24" borderId="16" xfId="45" applyFont="1" applyFill="1" applyBorder="1" applyAlignment="1">
      <alignment horizontal="center" vertical="top" wrapText="1"/>
    </xf>
    <xf numFmtId="41" fontId="25" fillId="24" borderId="43" xfId="45" applyNumberFormat="1" applyFont="1" applyFill="1" applyBorder="1" applyAlignment="1">
      <alignment horizontal="center" vertical="top"/>
    </xf>
    <xf numFmtId="0" fontId="25" fillId="0" borderId="20" xfId="45" applyFont="1" applyBorder="1" applyAlignment="1">
      <alignment vertical="top"/>
    </xf>
    <xf numFmtId="0" fontId="25" fillId="24" borderId="10" xfId="45" applyFont="1" applyFill="1" applyBorder="1" applyAlignment="1">
      <alignment horizontal="center" vertical="top" wrapText="1"/>
    </xf>
    <xf numFmtId="2" fontId="25" fillId="24" borderId="10" xfId="45" applyNumberFormat="1" applyFont="1" applyFill="1" applyBorder="1" applyAlignment="1">
      <alignment horizontal="left" vertical="top" wrapText="1"/>
    </xf>
    <xf numFmtId="1" fontId="25" fillId="24" borderId="10" xfId="45" applyNumberFormat="1" applyFont="1" applyFill="1" applyBorder="1" applyAlignment="1">
      <alignment horizontal="center" vertical="top"/>
    </xf>
    <xf numFmtId="44" fontId="25" fillId="28" borderId="10" xfId="55" applyFont="1" applyFill="1" applyBorder="1" applyAlignment="1" applyProtection="1">
      <alignment horizontal="center" vertical="top"/>
    </xf>
    <xf numFmtId="166" fontId="25" fillId="24" borderId="16" xfId="45" applyNumberFormat="1" applyFont="1" applyFill="1" applyBorder="1" applyAlignment="1">
      <alignment horizontal="center" vertical="top"/>
    </xf>
    <xf numFmtId="44" fontId="25" fillId="24" borderId="10" xfId="55" applyFont="1" applyFill="1" applyBorder="1" applyAlignment="1" applyProtection="1">
      <alignment horizontal="center" vertical="top"/>
    </xf>
    <xf numFmtId="0" fontId="25" fillId="24" borderId="20" xfId="45" applyFont="1" applyFill="1" applyBorder="1" applyAlignment="1">
      <alignment vertical="top"/>
    </xf>
    <xf numFmtId="2" fontId="25" fillId="0" borderId="10" xfId="45" applyNumberFormat="1" applyFont="1" applyBorder="1" applyAlignment="1">
      <alignment horizontal="left" vertical="top" wrapText="1"/>
    </xf>
    <xf numFmtId="166" fontId="25" fillId="0" borderId="16" xfId="45" applyNumberFormat="1" applyFont="1" applyBorder="1" applyAlignment="1">
      <alignment horizontal="center" vertical="top"/>
    </xf>
    <xf numFmtId="164" fontId="25" fillId="24" borderId="0" xfId="45" applyNumberFormat="1" applyFont="1" applyFill="1" applyAlignment="1">
      <alignment vertical="top"/>
    </xf>
    <xf numFmtId="166" fontId="25" fillId="0" borderId="10" xfId="45" applyNumberFormat="1" applyFont="1" applyBorder="1" applyAlignment="1">
      <alignment horizontal="center" vertical="top"/>
    </xf>
    <xf numFmtId="2" fontId="76" fillId="24" borderId="10" xfId="45" applyNumberFormat="1" applyFont="1" applyFill="1" applyBorder="1" applyAlignment="1">
      <alignment horizontal="left" vertical="top" wrapText="1"/>
    </xf>
    <xf numFmtId="1" fontId="25" fillId="0" borderId="10" xfId="45" applyNumberFormat="1" applyFont="1" applyBorder="1" applyAlignment="1">
      <alignment horizontal="center" vertical="top"/>
    </xf>
    <xf numFmtId="1" fontId="26" fillId="0" borderId="15" xfId="45" applyNumberFormat="1" applyFont="1" applyBorder="1" applyAlignment="1">
      <alignment horizontal="right" vertical="top"/>
    </xf>
    <xf numFmtId="44" fontId="25" fillId="0" borderId="10" xfId="55" applyFont="1" applyFill="1" applyBorder="1" applyAlignment="1" applyProtection="1">
      <alignment horizontal="center" vertical="top"/>
    </xf>
    <xf numFmtId="168" fontId="25" fillId="24" borderId="18" xfId="45" applyNumberFormat="1" applyFont="1" applyFill="1" applyBorder="1" applyAlignment="1">
      <alignment horizontal="center" vertical="top"/>
    </xf>
    <xf numFmtId="2" fontId="26" fillId="0" borderId="10" xfId="45" applyNumberFormat="1" applyFont="1" applyBorder="1" applyAlignment="1">
      <alignment horizontal="right" vertical="top" wrapText="1"/>
    </xf>
    <xf numFmtId="9" fontId="25" fillId="0" borderId="15" xfId="45" applyNumberFormat="1" applyFont="1" applyBorder="1" applyAlignment="1">
      <alignment horizontal="center" vertical="top"/>
    </xf>
    <xf numFmtId="168" fontId="25" fillId="0" borderId="10" xfId="45" applyNumberFormat="1" applyFont="1" applyBorder="1" applyAlignment="1">
      <alignment horizontal="center" vertical="top"/>
    </xf>
    <xf numFmtId="44" fontId="25" fillId="0" borderId="0" xfId="45" applyNumberFormat="1" applyFont="1" applyAlignment="1">
      <alignment vertical="top"/>
    </xf>
    <xf numFmtId="166" fontId="25" fillId="0" borderId="16" xfId="55" applyNumberFormat="1" applyFont="1" applyFill="1" applyBorder="1" applyAlignment="1">
      <alignment horizontal="center" vertical="top"/>
    </xf>
    <xf numFmtId="175" fontId="26" fillId="24" borderId="10" xfId="45" applyNumberFormat="1" applyFont="1" applyFill="1" applyBorder="1" applyAlignment="1">
      <alignment horizontal="center" vertical="top" wrapText="1"/>
    </xf>
    <xf numFmtId="2" fontId="25" fillId="24" borderId="57" xfId="45" applyNumberFormat="1" applyFont="1" applyFill="1" applyBorder="1" applyAlignment="1">
      <alignment horizontal="left" vertical="top" wrapText="1"/>
    </xf>
    <xf numFmtId="176" fontId="25" fillId="24" borderId="0" xfId="45" applyNumberFormat="1" applyFont="1" applyFill="1" applyAlignment="1">
      <alignment vertical="top"/>
    </xf>
    <xf numFmtId="2" fontId="25" fillId="24" borderId="58" xfId="45" applyNumberFormat="1" applyFont="1" applyFill="1" applyBorder="1" applyAlignment="1">
      <alignment horizontal="left" vertical="top" wrapText="1"/>
    </xf>
    <xf numFmtId="2" fontId="26" fillId="24" borderId="57" xfId="45" applyNumberFormat="1" applyFont="1" applyFill="1" applyBorder="1" applyAlignment="1">
      <alignment horizontal="left" vertical="top" wrapText="1"/>
    </xf>
    <xf numFmtId="2" fontId="25" fillId="24" borderId="15" xfId="45" applyNumberFormat="1" applyFont="1" applyFill="1" applyBorder="1" applyAlignment="1">
      <alignment horizontal="right" vertical="top"/>
    </xf>
    <xf numFmtId="2" fontId="25" fillId="0" borderId="57" xfId="45" applyNumberFormat="1" applyFont="1" applyBorder="1" applyAlignment="1">
      <alignment horizontal="left" vertical="top" wrapText="1"/>
    </xf>
    <xf numFmtId="0" fontId="82" fillId="24" borderId="10" xfId="45" applyFont="1" applyFill="1" applyBorder="1" applyAlignment="1">
      <alignment horizontal="center" vertical="top"/>
    </xf>
    <xf numFmtId="2" fontId="36" fillId="24" borderId="10" xfId="45" applyNumberFormat="1" applyFont="1" applyFill="1" applyBorder="1" applyAlignment="1">
      <alignment horizontal="left" vertical="top" wrapText="1"/>
    </xf>
    <xf numFmtId="2" fontId="36" fillId="24" borderId="16" xfId="45" applyNumberFormat="1" applyFont="1" applyFill="1" applyBorder="1" applyAlignment="1">
      <alignment horizontal="left" vertical="top" wrapText="1"/>
    </xf>
    <xf numFmtId="0" fontId="82" fillId="24" borderId="15" xfId="45" applyFont="1" applyFill="1" applyBorder="1" applyAlignment="1">
      <alignment horizontal="center" vertical="top" wrapText="1"/>
    </xf>
    <xf numFmtId="2" fontId="84" fillId="24" borderId="58" xfId="45" applyNumberFormat="1" applyFont="1" applyFill="1" applyBorder="1" applyAlignment="1">
      <alignment horizontal="left" vertical="top" wrapText="1"/>
    </xf>
    <xf numFmtId="0" fontId="35" fillId="24" borderId="30" xfId="45" applyFont="1" applyFill="1" applyBorder="1" applyAlignment="1">
      <alignment horizontal="center" vertical="top" wrapText="1"/>
    </xf>
    <xf numFmtId="2" fontId="26" fillId="24" borderId="58" xfId="45" applyNumberFormat="1" applyFont="1" applyFill="1" applyBorder="1" applyAlignment="1">
      <alignment horizontal="left" vertical="top" wrapText="1"/>
    </xf>
    <xf numFmtId="178" fontId="25" fillId="24" borderId="10" xfId="45" applyNumberFormat="1" applyFont="1" applyFill="1" applyBorder="1" applyAlignment="1">
      <alignment horizontal="center" vertical="top"/>
    </xf>
    <xf numFmtId="44" fontId="25" fillId="0" borderId="10" xfId="55" applyFont="1" applyFill="1" applyBorder="1" applyAlignment="1">
      <alignment horizontal="center" vertical="top"/>
    </xf>
    <xf numFmtId="2" fontId="34" fillId="0" borderId="15" xfId="45" applyNumberFormat="1" applyFont="1" applyBorder="1" applyAlignment="1">
      <alignment horizontal="left" vertical="top" wrapText="1"/>
    </xf>
    <xf numFmtId="2" fontId="26" fillId="0" borderId="21" xfId="45" applyNumberFormat="1" applyFont="1" applyBorder="1" applyAlignment="1">
      <alignment horizontal="left" vertical="top" wrapText="1"/>
    </xf>
    <xf numFmtId="1" fontId="25" fillId="0" borderId="29" xfId="45" applyNumberFormat="1" applyFont="1" applyBorder="1" applyAlignment="1">
      <alignment horizontal="center" vertical="top"/>
    </xf>
    <xf numFmtId="2" fontId="25" fillId="0" borderId="56" xfId="45" applyNumberFormat="1" applyFont="1" applyBorder="1" applyAlignment="1">
      <alignment horizontal="left" vertical="top" wrapText="1"/>
    </xf>
    <xf numFmtId="2" fontId="34" fillId="0" borderId="43" xfId="45" applyNumberFormat="1" applyFont="1" applyBorder="1" applyAlignment="1">
      <alignment horizontal="left" vertical="top" wrapText="1"/>
    </xf>
    <xf numFmtId="2" fontId="26" fillId="0" borderId="19" xfId="45" applyNumberFormat="1" applyFont="1" applyBorder="1" applyAlignment="1">
      <alignment horizontal="left" vertical="top" wrapText="1"/>
    </xf>
    <xf numFmtId="2" fontId="34" fillId="0" borderId="10" xfId="45" applyNumberFormat="1" applyFont="1" applyBorder="1" applyAlignment="1">
      <alignment horizontal="left" vertical="top" wrapText="1"/>
    </xf>
    <xf numFmtId="0" fontId="25" fillId="24" borderId="30" xfId="45" applyFont="1" applyFill="1" applyBorder="1" applyAlignment="1">
      <alignment horizontal="center" vertical="top" wrapText="1"/>
    </xf>
    <xf numFmtId="2" fontId="26" fillId="24" borderId="10" xfId="45" applyNumberFormat="1" applyFont="1" applyFill="1" applyBorder="1" applyAlignment="1">
      <alignment horizontal="left" vertical="top" wrapText="1"/>
    </xf>
    <xf numFmtId="9" fontId="25" fillId="0" borderId="10" xfId="45" applyNumberFormat="1" applyFont="1" applyBorder="1" applyAlignment="1">
      <alignment horizontal="center" vertical="top"/>
    </xf>
    <xf numFmtId="167" fontId="26" fillId="0" borderId="46" xfId="45" applyNumberFormat="1" applyFont="1" applyBorder="1" applyAlignment="1">
      <alignment horizontal="center" vertical="top"/>
    </xf>
    <xf numFmtId="44" fontId="25" fillId="0" borderId="15" xfId="55" applyFont="1" applyFill="1" applyBorder="1" applyAlignment="1">
      <alignment horizontal="center" vertical="top"/>
    </xf>
    <xf numFmtId="2" fontId="25" fillId="24" borderId="10" xfId="45" quotePrefix="1" applyNumberFormat="1" applyFont="1" applyFill="1" applyBorder="1" applyAlignment="1">
      <alignment horizontal="left" vertical="top" wrapText="1"/>
    </xf>
    <xf numFmtId="2" fontId="84" fillId="24" borderId="10" xfId="45" applyNumberFormat="1" applyFont="1" applyFill="1" applyBorder="1" applyAlignment="1">
      <alignment horizontal="left" vertical="top" wrapText="1"/>
    </xf>
    <xf numFmtId="0" fontId="26" fillId="24" borderId="30" xfId="45" applyFont="1" applyFill="1" applyBorder="1" applyAlignment="1">
      <alignment horizontal="center" vertical="top" wrapText="1"/>
    </xf>
    <xf numFmtId="1" fontId="25" fillId="24" borderId="30" xfId="45" applyNumberFormat="1" applyFont="1" applyFill="1" applyBorder="1" applyAlignment="1">
      <alignment horizontal="right" vertical="top"/>
    </xf>
    <xf numFmtId="0" fontId="25" fillId="0" borderId="30" xfId="45" applyFont="1" applyBorder="1" applyAlignment="1">
      <alignment horizontal="center" vertical="top" wrapText="1"/>
    </xf>
    <xf numFmtId="167" fontId="26" fillId="0" borderId="33" xfId="45" applyNumberFormat="1" applyFont="1" applyBorder="1" applyAlignment="1">
      <alignment horizontal="center" vertical="top"/>
    </xf>
    <xf numFmtId="166" fontId="25" fillId="24" borderId="10" xfId="55" applyNumberFormat="1" applyFont="1" applyFill="1" applyBorder="1" applyAlignment="1" applyProtection="1">
      <alignment horizontal="center" vertical="top"/>
    </xf>
    <xf numFmtId="171" fontId="25" fillId="24" borderId="10" xfId="45" applyNumberFormat="1" applyFont="1" applyFill="1" applyBorder="1" applyAlignment="1">
      <alignment horizontal="left" vertical="top" wrapText="1"/>
    </xf>
    <xf numFmtId="0" fontId="25" fillId="0" borderId="23" xfId="45" applyFont="1" applyBorder="1" applyAlignment="1">
      <alignment vertical="top"/>
    </xf>
    <xf numFmtId="0" fontId="25" fillId="0" borderId="39" xfId="45" applyFont="1" applyBorder="1" applyAlignment="1">
      <alignment horizontal="center" vertical="top"/>
    </xf>
    <xf numFmtId="1" fontId="26" fillId="0" borderId="31" xfId="45" applyNumberFormat="1" applyFont="1" applyBorder="1" applyAlignment="1">
      <alignment horizontal="left" vertical="top"/>
    </xf>
    <xf numFmtId="0" fontId="25" fillId="0" borderId="31" xfId="45" applyFont="1" applyBorder="1" applyAlignment="1">
      <alignment horizontal="left" vertical="top" wrapText="1"/>
    </xf>
    <xf numFmtId="1" fontId="25" fillId="0" borderId="31" xfId="45" applyNumberFormat="1" applyFont="1" applyBorder="1" applyAlignment="1">
      <alignment horizontal="center" vertical="top"/>
    </xf>
    <xf numFmtId="41" fontId="25" fillId="0" borderId="31" xfId="45" applyNumberFormat="1" applyFont="1" applyBorder="1" applyAlignment="1">
      <alignment horizontal="right" vertical="top"/>
    </xf>
    <xf numFmtId="0" fontId="25" fillId="0" borderId="31" xfId="45" applyFont="1" applyBorder="1" applyAlignment="1">
      <alignment horizontal="center" vertical="top"/>
    </xf>
    <xf numFmtId="0" fontId="85" fillId="0" borderId="12" xfId="45" applyFont="1" applyBorder="1" applyAlignment="1">
      <alignment horizontal="left" vertical="top"/>
    </xf>
    <xf numFmtId="0" fontId="35" fillId="0" borderId="12" xfId="45" applyFont="1" applyBorder="1" applyAlignment="1">
      <alignment horizontal="left" vertical="top"/>
    </xf>
    <xf numFmtId="2" fontId="25" fillId="0" borderId="0" xfId="45" applyNumberFormat="1" applyFont="1" applyAlignment="1">
      <alignment horizontal="left" vertical="top" wrapText="1"/>
    </xf>
    <xf numFmtId="1" fontId="25" fillId="0" borderId="0" xfId="45" applyNumberFormat="1" applyFont="1" applyAlignment="1">
      <alignment horizontal="center" vertical="top" wrapText="1"/>
    </xf>
    <xf numFmtId="49" fontId="39" fillId="24" borderId="12" xfId="45" applyNumberFormat="1" applyFont="1" applyFill="1" applyBorder="1" applyAlignment="1">
      <alignment horizontal="center" vertical="top" wrapText="1"/>
    </xf>
    <xf numFmtId="0" fontId="38" fillId="24" borderId="0" xfId="45" applyFont="1" applyFill="1" applyBorder="1" applyAlignment="1">
      <alignment horizontal="left" vertical="top" wrapText="1"/>
    </xf>
    <xf numFmtId="0" fontId="38" fillId="24" borderId="0" xfId="45" applyFont="1" applyFill="1" applyBorder="1" applyAlignment="1">
      <alignment vertical="top" wrapText="1"/>
    </xf>
    <xf numFmtId="0" fontId="39" fillId="24" borderId="0" xfId="45" applyFont="1" applyFill="1" applyBorder="1" applyAlignment="1">
      <alignment horizontal="left" vertical="top" wrapText="1" indent="2"/>
    </xf>
    <xf numFmtId="166" fontId="25" fillId="24" borderId="10" xfId="45" applyNumberFormat="1" applyFont="1" applyFill="1" applyBorder="1" applyAlignment="1">
      <alignment horizontal="center" vertical="top"/>
    </xf>
    <xf numFmtId="168" fontId="25" fillId="24" borderId="10" xfId="45" applyNumberFormat="1" applyFont="1" applyFill="1" applyBorder="1" applyAlignment="1">
      <alignment vertical="top"/>
    </xf>
    <xf numFmtId="164" fontId="5" fillId="0" borderId="0" xfId="45" applyNumberFormat="1"/>
    <xf numFmtId="0" fontId="25" fillId="24" borderId="29" xfId="0" applyFont="1" applyFill="1" applyBorder="1" applyAlignment="1" applyProtection="1">
      <alignment horizontal="center" vertical="top" wrapText="1"/>
    </xf>
    <xf numFmtId="2" fontId="25" fillId="24" borderId="0" xfId="0" applyNumberFormat="1" applyFont="1" applyFill="1" applyBorder="1" applyAlignment="1">
      <alignment horizontal="left" vertical="top" wrapText="1"/>
    </xf>
    <xf numFmtId="166" fontId="25" fillId="24" borderId="15" xfId="55" applyNumberFormat="1" applyFont="1" applyFill="1" applyBorder="1" applyAlignment="1">
      <alignment horizontal="center" vertical="top"/>
    </xf>
    <xf numFmtId="166" fontId="25" fillId="29" borderId="10" xfId="55" applyNumberFormat="1" applyFont="1" applyFill="1" applyBorder="1" applyAlignment="1">
      <alignment horizontal="center" vertical="top"/>
    </xf>
    <xf numFmtId="1" fontId="25" fillId="24" borderId="53" xfId="0" applyNumberFormat="1" applyFont="1" applyFill="1" applyBorder="1" applyAlignment="1" applyProtection="1">
      <alignment horizontal="right" vertical="top"/>
    </xf>
    <xf numFmtId="179" fontId="44" fillId="0" borderId="0" xfId="45" applyNumberFormat="1" applyFont="1" applyAlignment="1">
      <alignment vertical="top"/>
    </xf>
    <xf numFmtId="0" fontId="26" fillId="24" borderId="0" xfId="45" applyFont="1" applyFill="1" applyBorder="1" applyAlignment="1">
      <alignment horizontal="left" vertical="top"/>
    </xf>
    <xf numFmtId="14" fontId="25" fillId="24" borderId="0" xfId="45" applyNumberFormat="1" applyFont="1" applyFill="1" applyBorder="1" applyAlignment="1">
      <alignment horizontal="left" vertical="top"/>
    </xf>
    <xf numFmtId="44" fontId="25" fillId="24" borderId="0" xfId="45" applyNumberFormat="1" applyFont="1" applyFill="1" applyBorder="1" applyAlignment="1">
      <alignment vertical="top"/>
    </xf>
    <xf numFmtId="166" fontId="26" fillId="24" borderId="0" xfId="45" applyNumberFormat="1" applyFont="1" applyFill="1" applyBorder="1" applyAlignment="1">
      <alignment horizontal="left" vertical="top"/>
    </xf>
    <xf numFmtId="167" fontId="26" fillId="0" borderId="0" xfId="45" applyNumberFormat="1" applyFont="1" applyBorder="1" applyAlignment="1">
      <alignment horizontal="center" vertical="top"/>
    </xf>
    <xf numFmtId="0" fontId="26" fillId="0" borderId="0" xfId="45" applyFont="1" applyBorder="1" applyAlignment="1">
      <alignment vertical="top" wrapText="1"/>
    </xf>
    <xf numFmtId="0" fontId="35" fillId="0" borderId="0" xfId="45" applyFont="1" applyBorder="1" applyAlignment="1">
      <alignment vertical="top" wrapText="1"/>
    </xf>
    <xf numFmtId="0" fontId="36" fillId="0" borderId="0" xfId="45" applyFont="1" applyBorder="1" applyAlignment="1">
      <alignment vertical="top" wrapText="1"/>
    </xf>
    <xf numFmtId="0" fontId="25" fillId="24" borderId="0" xfId="45" applyFont="1" applyFill="1" applyBorder="1" applyAlignment="1">
      <alignment horizontal="center" vertical="top" wrapText="1"/>
    </xf>
    <xf numFmtId="166" fontId="25" fillId="24" borderId="0" xfId="45" applyNumberFormat="1" applyFont="1" applyFill="1" applyBorder="1" applyAlignment="1">
      <alignment horizontal="center" vertical="top"/>
    </xf>
    <xf numFmtId="168" fontId="25" fillId="28" borderId="10" xfId="45" applyNumberFormat="1" applyFont="1" applyFill="1" applyBorder="1" applyAlignment="1">
      <alignment vertical="top"/>
    </xf>
    <xf numFmtId="9" fontId="40" fillId="33" borderId="27" xfId="45" applyNumberFormat="1" applyFont="1" applyFill="1" applyBorder="1" applyAlignment="1">
      <alignment horizontal="center" vertical="top"/>
    </xf>
    <xf numFmtId="166" fontId="25" fillId="24" borderId="46" xfId="45" applyNumberFormat="1" applyFont="1" applyFill="1" applyBorder="1" applyAlignment="1">
      <alignment horizontal="center" vertical="top"/>
    </xf>
    <xf numFmtId="166" fontId="5" fillId="0" borderId="0" xfId="45" applyNumberFormat="1"/>
    <xf numFmtId="0" fontId="74" fillId="24" borderId="0" xfId="45" applyFont="1" applyFill="1" applyAlignment="1">
      <alignment vertical="top"/>
    </xf>
    <xf numFmtId="0" fontId="74" fillId="0" borderId="0" xfId="45" applyFont="1" applyAlignment="1">
      <alignment vertical="top"/>
    </xf>
    <xf numFmtId="0" fontId="74" fillId="24" borderId="10" xfId="45" applyFont="1" applyFill="1" applyBorder="1" applyAlignment="1">
      <alignment horizontal="center" vertical="top" wrapText="1"/>
    </xf>
    <xf numFmtId="1" fontId="74" fillId="0" borderId="10" xfId="45" applyNumberFormat="1" applyFont="1" applyBorder="1" applyAlignment="1">
      <alignment horizontal="right" vertical="top"/>
    </xf>
    <xf numFmtId="2" fontId="74" fillId="0" borderId="10" xfId="45" applyNumberFormat="1" applyFont="1" applyBorder="1" applyAlignment="1">
      <alignment horizontal="left" vertical="top" wrapText="1"/>
    </xf>
    <xf numFmtId="1" fontId="74" fillId="0" borderId="10" xfId="45" applyNumberFormat="1" applyFont="1" applyBorder="1" applyAlignment="1">
      <alignment horizontal="center" vertical="top"/>
    </xf>
    <xf numFmtId="9" fontId="74" fillId="0" borderId="10" xfId="45" applyNumberFormat="1" applyFont="1" applyBorder="1" applyAlignment="1">
      <alignment horizontal="center" vertical="top"/>
    </xf>
    <xf numFmtId="41" fontId="74" fillId="0" borderId="10" xfId="45" applyNumberFormat="1" applyFont="1" applyBorder="1" applyAlignment="1">
      <alignment horizontal="center" vertical="top"/>
    </xf>
    <xf numFmtId="0" fontId="74" fillId="0" borderId="10" xfId="45" applyFont="1" applyBorder="1" applyAlignment="1">
      <alignment horizontal="center" vertical="top"/>
    </xf>
    <xf numFmtId="167" fontId="25" fillId="24" borderId="10" xfId="45" applyNumberFormat="1" applyFont="1" applyFill="1" applyBorder="1" applyAlignment="1">
      <alignment vertical="top"/>
    </xf>
    <xf numFmtId="0" fontId="74" fillId="24" borderId="31" xfId="45" applyFont="1" applyFill="1" applyBorder="1" applyAlignment="1">
      <alignment horizontal="center" vertical="top" wrapText="1"/>
    </xf>
    <xf numFmtId="1" fontId="74" fillId="0" borderId="31" xfId="45" applyNumberFormat="1" applyFont="1" applyBorder="1" applyAlignment="1">
      <alignment horizontal="right" vertical="top"/>
    </xf>
    <xf numFmtId="2" fontId="74" fillId="0" borderId="31" xfId="45" applyNumberFormat="1" applyFont="1" applyBorder="1" applyAlignment="1">
      <alignment horizontal="left" vertical="top" wrapText="1"/>
    </xf>
    <xf numFmtId="1" fontId="74" fillId="0" borderId="31" xfId="45" applyNumberFormat="1" applyFont="1" applyBorder="1" applyAlignment="1">
      <alignment horizontal="center" vertical="top"/>
    </xf>
    <xf numFmtId="9" fontId="74" fillId="0" borderId="31" xfId="45" applyNumberFormat="1" applyFont="1" applyBorder="1" applyAlignment="1">
      <alignment horizontal="center" vertical="top"/>
    </xf>
    <xf numFmtId="41" fontId="74" fillId="0" borderId="31" xfId="45" applyNumberFormat="1" applyFont="1" applyBorder="1" applyAlignment="1">
      <alignment horizontal="center" vertical="top"/>
    </xf>
    <xf numFmtId="0" fontId="74" fillId="0" borderId="31" xfId="45" applyFont="1" applyBorder="1" applyAlignment="1">
      <alignment horizontal="center" vertical="top"/>
    </xf>
    <xf numFmtId="1" fontId="27" fillId="30" borderId="26" xfId="45" applyNumberFormat="1" applyFont="1" applyFill="1" applyBorder="1" applyAlignment="1">
      <alignment horizontal="left" vertical="top"/>
    </xf>
    <xf numFmtId="1" fontId="27" fillId="30" borderId="17" xfId="45" applyNumberFormat="1" applyFont="1" applyFill="1" applyBorder="1" applyAlignment="1">
      <alignment horizontal="left" vertical="top" wrapText="1"/>
    </xf>
    <xf numFmtId="1" fontId="27" fillId="30" borderId="17" xfId="45" applyNumberFormat="1" applyFont="1" applyFill="1" applyBorder="1" applyAlignment="1">
      <alignment horizontal="left" vertical="top"/>
    </xf>
    <xf numFmtId="0" fontId="29" fillId="30" borderId="17" xfId="45" applyFont="1" applyFill="1" applyBorder="1" applyAlignment="1">
      <alignment horizontal="left" vertical="top" wrapText="1"/>
    </xf>
    <xf numFmtId="1" fontId="29" fillId="30" borderId="17" xfId="45" applyNumberFormat="1" applyFont="1" applyFill="1" applyBorder="1" applyAlignment="1">
      <alignment horizontal="center" vertical="top"/>
    </xf>
    <xf numFmtId="41" fontId="29" fillId="30" borderId="17" xfId="45" applyNumberFormat="1" applyFont="1" applyFill="1" applyBorder="1" applyAlignment="1">
      <alignment horizontal="right" vertical="top"/>
    </xf>
    <xf numFmtId="0" fontId="29" fillId="30" borderId="17" xfId="45" applyFont="1" applyFill="1" applyBorder="1" applyAlignment="1">
      <alignment horizontal="center" vertical="top"/>
    </xf>
    <xf numFmtId="166" fontId="27" fillId="30" borderId="17" xfId="45" applyNumberFormat="1" applyFont="1" applyFill="1" applyBorder="1" applyAlignment="1">
      <alignment horizontal="left" vertical="top"/>
    </xf>
    <xf numFmtId="166" fontId="27" fillId="30" borderId="27" xfId="45" applyNumberFormat="1" applyFont="1" applyFill="1" applyBorder="1" applyAlignment="1">
      <alignment horizontal="left" vertical="top"/>
    </xf>
    <xf numFmtId="0" fontId="29" fillId="30" borderId="14" xfId="45" applyFont="1" applyFill="1" applyBorder="1" applyAlignment="1">
      <alignment horizontal="center" vertical="top" wrapText="1"/>
    </xf>
    <xf numFmtId="49" fontId="83" fillId="0" borderId="26" xfId="45" applyNumberFormat="1" applyFont="1" applyBorder="1" applyAlignment="1">
      <alignment horizontal="left" vertical="top"/>
    </xf>
    <xf numFmtId="0" fontId="39" fillId="0" borderId="17" xfId="45" applyFont="1" applyBorder="1"/>
    <xf numFmtId="0" fontId="39" fillId="0" borderId="27" xfId="45" applyFont="1" applyBorder="1"/>
    <xf numFmtId="2" fontId="28" fillId="24" borderId="11" xfId="54" applyNumberFormat="1" applyFill="1" applyBorder="1" applyAlignment="1">
      <alignment horizontal="center" vertical="top"/>
    </xf>
    <xf numFmtId="0" fontId="27" fillId="30" borderId="26" xfId="0" applyFont="1" applyFill="1" applyBorder="1" applyAlignment="1" applyProtection="1">
      <alignment horizontal="center" vertical="top" wrapText="1"/>
    </xf>
    <xf numFmtId="1" fontId="27" fillId="30" borderId="17" xfId="0" applyNumberFormat="1" applyFont="1" applyFill="1" applyBorder="1" applyAlignment="1" applyProtection="1">
      <alignment horizontal="center" vertical="top" wrapText="1"/>
    </xf>
    <xf numFmtId="0" fontId="27" fillId="30" borderId="17" xfId="0" applyFont="1" applyFill="1" applyBorder="1" applyAlignment="1" applyProtection="1">
      <alignment horizontal="center" vertical="top" wrapText="1"/>
    </xf>
    <xf numFmtId="165" fontId="27" fillId="30" borderId="27" xfId="0" applyNumberFormat="1" applyFont="1" applyFill="1" applyBorder="1" applyAlignment="1" applyProtection="1">
      <alignment horizontal="center" vertical="top" wrapText="1"/>
    </xf>
    <xf numFmtId="0" fontId="27" fillId="30" borderId="26" xfId="45" applyFont="1" applyFill="1" applyBorder="1" applyAlignment="1" applyProtection="1">
      <alignment horizontal="center" vertical="top" wrapText="1"/>
    </xf>
    <xf numFmtId="1" fontId="27" fillId="30" borderId="17" xfId="45" applyNumberFormat="1" applyFont="1" applyFill="1" applyBorder="1" applyAlignment="1" applyProtection="1">
      <alignment horizontal="center" vertical="top" wrapText="1"/>
    </xf>
    <xf numFmtId="0" fontId="27" fillId="30" borderId="17" xfId="45" applyFont="1" applyFill="1" applyBorder="1" applyAlignment="1" applyProtection="1">
      <alignment horizontal="center" vertical="top" wrapText="1"/>
    </xf>
    <xf numFmtId="165" fontId="27" fillId="30" borderId="27" xfId="45" applyNumberFormat="1" applyFont="1" applyFill="1" applyBorder="1" applyAlignment="1" applyProtection="1">
      <alignment horizontal="center" vertical="top" wrapText="1"/>
    </xf>
    <xf numFmtId="0" fontId="39" fillId="0" borderId="13" xfId="45" applyFont="1" applyBorder="1"/>
    <xf numFmtId="0" fontId="39" fillId="0" borderId="24" xfId="45" applyFont="1" applyBorder="1"/>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6"/>
    <cellStyle name="Comma 2 2" xfId="48"/>
    <cellStyle name="Currency" xfId="56" builtinId="4"/>
    <cellStyle name="Currency 10" xfId="61"/>
    <cellStyle name="Currency 2" xfId="50"/>
    <cellStyle name="Currency 3" xfId="55"/>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4" builtinId="8"/>
    <cellStyle name="Hyperlink 2" xfId="62"/>
    <cellStyle name="Input" xfId="34" builtinId="20" customBuiltin="1"/>
    <cellStyle name="Linked Cell" xfId="35" builtinId="24" customBuiltin="1"/>
    <cellStyle name="Neutral" xfId="36" builtinId="28" customBuiltin="1"/>
    <cellStyle name="Normal" xfId="0" builtinId="0"/>
    <cellStyle name="Normal 2" xfId="44"/>
    <cellStyle name="Normal 2 2" xfId="47"/>
    <cellStyle name="Normal 2 3" xfId="45"/>
    <cellStyle name="Normal 2 3 2" xfId="52"/>
    <cellStyle name="Normal 3" xfId="37"/>
    <cellStyle name="Normal 4" xfId="43"/>
    <cellStyle name="Normal 4 2" xfId="53"/>
    <cellStyle name="Normal 4 3" xfId="51"/>
    <cellStyle name="Normal 4 4" xfId="59"/>
    <cellStyle name="Normal 5" xfId="49"/>
    <cellStyle name="Normal 6" xfId="60"/>
    <cellStyle name="Note" xfId="38" builtinId="10" customBuiltin="1"/>
    <cellStyle name="Output" xfId="39" builtinId="21" customBuiltin="1"/>
    <cellStyle name="Percent" xfId="57" builtinId="5"/>
    <cellStyle name="Percent 2" xfId="58"/>
    <cellStyle name="Title" xfId="40" builtinId="15" customBuiltin="1"/>
    <cellStyle name="Total" xfId="41" builtinId="25" customBuiltin="1"/>
    <cellStyle name="Warning Text" xfId="42" builtinId="11" customBuiltin="1"/>
  </cellStyles>
  <dxfs count="2">
    <dxf>
      <fill>
        <patternFill patternType="solid">
          <fgColor rgb="FFBFBFBF"/>
          <bgColor rgb="FF000000"/>
        </patternFill>
      </fill>
    </dxf>
    <dxf>
      <fill>
        <patternFill patternType="solid">
          <fgColor rgb="FFBFBFBF"/>
          <bgColor rgb="FF000000"/>
        </patternFill>
      </fill>
    </dxf>
  </dxfs>
  <tableStyles count="0" defaultTableStyle="TableStyleMedium9" defaultPivotStyle="PivotStyleLight16"/>
  <colors>
    <mruColors>
      <color rgb="FFF55D61"/>
      <color rgb="FFFED2DC"/>
      <color rgb="FFD5D5D5"/>
      <color rgb="FFB94517"/>
      <color rgb="FFFE9494"/>
      <color rgb="FFF3F3F3"/>
      <color rgb="FFF50101"/>
      <color rgb="FFCE2008"/>
      <color rgb="FFFF512C"/>
      <color rgb="FFDE79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661148</xdr:colOff>
      <xdr:row>1381</xdr:row>
      <xdr:rowOff>481853</xdr:rowOff>
    </xdr:from>
    <xdr:to>
      <xdr:col>4</xdr:col>
      <xdr:colOff>3350559</xdr:colOff>
      <xdr:row>1381</xdr:row>
      <xdr:rowOff>4005662</xdr:rowOff>
    </xdr:to>
    <xdr:pic>
      <xdr:nvPicPr>
        <xdr:cNvPr id="2" name="Picture 1"/>
        <xdr:cNvPicPr>
          <a:picLocks noChangeAspect="1"/>
        </xdr:cNvPicPr>
      </xdr:nvPicPr>
      <xdr:blipFill>
        <a:blip xmlns:r="http://schemas.openxmlformats.org/officeDocument/2006/relationships" r:embed="rId1"/>
        <a:stretch>
          <a:fillRect/>
        </a:stretch>
      </xdr:blipFill>
      <xdr:spPr>
        <a:xfrm>
          <a:off x="4090148" y="310526206"/>
          <a:ext cx="2689411" cy="3523809"/>
        </a:xfrm>
        <a:prstGeom prst="rect">
          <a:avLst/>
        </a:prstGeom>
      </xdr:spPr>
    </xdr:pic>
    <xdr:clientData/>
  </xdr:twoCellAnchor>
  <xdr:twoCellAnchor editAs="oneCell">
    <xdr:from>
      <xdr:col>4</xdr:col>
      <xdr:colOff>75671</xdr:colOff>
      <xdr:row>1382</xdr:row>
      <xdr:rowOff>656881</xdr:rowOff>
    </xdr:from>
    <xdr:to>
      <xdr:col>4</xdr:col>
      <xdr:colOff>3873203</xdr:colOff>
      <xdr:row>1382</xdr:row>
      <xdr:rowOff>2700619</xdr:rowOff>
    </xdr:to>
    <xdr:pic>
      <xdr:nvPicPr>
        <xdr:cNvPr id="3" name="Picture 2"/>
        <xdr:cNvPicPr>
          <a:picLocks noChangeAspect="1"/>
        </xdr:cNvPicPr>
      </xdr:nvPicPr>
      <xdr:blipFill>
        <a:blip xmlns:r="http://schemas.openxmlformats.org/officeDocument/2006/relationships" r:embed="rId2"/>
        <a:stretch>
          <a:fillRect/>
        </a:stretch>
      </xdr:blipFill>
      <xdr:spPr>
        <a:xfrm>
          <a:off x="3504671" y="314903440"/>
          <a:ext cx="3797532" cy="2043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897466</xdr:colOff>
      <xdr:row>361</xdr:row>
      <xdr:rowOff>0</xdr:rowOff>
    </xdr:from>
    <xdr:ext cx="65" cy="172227"/>
    <xdr:sp macro="" textlink="">
      <xdr:nvSpPr>
        <xdr:cNvPr id="2" name="TextBox 1">
          <a:extLst>
            <a:ext uri="{FF2B5EF4-FFF2-40B4-BE49-F238E27FC236}">
              <a16:creationId xmlns:a16="http://schemas.microsoft.com/office/drawing/2014/main" xmlns="" id="{7885198C-C16E-4A38-A614-D4E091EC215C}"/>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3" name="TextBox 2">
          <a:extLst>
            <a:ext uri="{FF2B5EF4-FFF2-40B4-BE49-F238E27FC236}">
              <a16:creationId xmlns:a16="http://schemas.microsoft.com/office/drawing/2014/main" xmlns="" id="{B1EEC51D-EDB5-4C21-846D-D0CD6839DDC6}"/>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4" name="TextBox 3">
          <a:extLst>
            <a:ext uri="{FF2B5EF4-FFF2-40B4-BE49-F238E27FC236}">
              <a16:creationId xmlns:a16="http://schemas.microsoft.com/office/drawing/2014/main" xmlns="" id="{5B843F57-7EC3-45CB-A8D2-F55120067960}"/>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5" name="TextBox 4">
          <a:extLst>
            <a:ext uri="{FF2B5EF4-FFF2-40B4-BE49-F238E27FC236}">
              <a16:creationId xmlns:a16="http://schemas.microsoft.com/office/drawing/2014/main" xmlns="" id="{1355F777-2450-481C-80CF-FBA8E03FDFB5}"/>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6" name="TextBox 5">
          <a:extLst>
            <a:ext uri="{FF2B5EF4-FFF2-40B4-BE49-F238E27FC236}">
              <a16:creationId xmlns:a16="http://schemas.microsoft.com/office/drawing/2014/main" xmlns="" id="{F2502E25-9C53-44AF-B619-32A4743E3A4B}"/>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7" name="TextBox 6">
          <a:extLst>
            <a:ext uri="{FF2B5EF4-FFF2-40B4-BE49-F238E27FC236}">
              <a16:creationId xmlns:a16="http://schemas.microsoft.com/office/drawing/2014/main" xmlns="" id="{92145638-F0F5-4CF6-A859-E25BAE9CE141}"/>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8" name="TextBox 7">
          <a:extLst>
            <a:ext uri="{FF2B5EF4-FFF2-40B4-BE49-F238E27FC236}">
              <a16:creationId xmlns:a16="http://schemas.microsoft.com/office/drawing/2014/main" xmlns="" id="{27D70663-AD6C-4BE2-8AF4-C849990F4DF0}"/>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9" name="TextBox 8">
          <a:extLst>
            <a:ext uri="{FF2B5EF4-FFF2-40B4-BE49-F238E27FC236}">
              <a16:creationId xmlns:a16="http://schemas.microsoft.com/office/drawing/2014/main" xmlns="" id="{745E8040-93C2-49B1-9821-5AD9D281CD56}"/>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10" name="TextBox 9">
          <a:extLst>
            <a:ext uri="{FF2B5EF4-FFF2-40B4-BE49-F238E27FC236}">
              <a16:creationId xmlns:a16="http://schemas.microsoft.com/office/drawing/2014/main" xmlns="" id="{3D5C6232-C139-4E32-A0FE-0B932C1E8282}"/>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11" name="TextBox 10">
          <a:extLst>
            <a:ext uri="{FF2B5EF4-FFF2-40B4-BE49-F238E27FC236}">
              <a16:creationId xmlns:a16="http://schemas.microsoft.com/office/drawing/2014/main" xmlns="" id="{2902A441-5DBA-41E2-9294-54A927A9BB12}"/>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12" name="TextBox 11">
          <a:extLst>
            <a:ext uri="{FF2B5EF4-FFF2-40B4-BE49-F238E27FC236}">
              <a16:creationId xmlns:a16="http://schemas.microsoft.com/office/drawing/2014/main" xmlns="" id="{77C010AB-DA3F-41C9-AEB0-EA3E0B1CE38F}"/>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13" name="TextBox 12">
          <a:extLst>
            <a:ext uri="{FF2B5EF4-FFF2-40B4-BE49-F238E27FC236}">
              <a16:creationId xmlns:a16="http://schemas.microsoft.com/office/drawing/2014/main" xmlns="" id="{B92A47F6-9A82-4D91-AE30-E08156C8B859}"/>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14" name="TextBox 13">
          <a:extLst>
            <a:ext uri="{FF2B5EF4-FFF2-40B4-BE49-F238E27FC236}">
              <a16:creationId xmlns:a16="http://schemas.microsoft.com/office/drawing/2014/main" xmlns="" id="{99B59C3E-D122-488D-823B-03FF6D5A3E4B}"/>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15" name="TextBox 14">
          <a:extLst>
            <a:ext uri="{FF2B5EF4-FFF2-40B4-BE49-F238E27FC236}">
              <a16:creationId xmlns:a16="http://schemas.microsoft.com/office/drawing/2014/main" xmlns="" id="{A9CB1C65-6A20-406B-86EF-F65211F28BDC}"/>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16" name="TextBox 15">
          <a:extLst>
            <a:ext uri="{FF2B5EF4-FFF2-40B4-BE49-F238E27FC236}">
              <a16:creationId xmlns:a16="http://schemas.microsoft.com/office/drawing/2014/main" xmlns="" id="{20690938-6222-4C86-9927-574557952170}"/>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17" name="TextBox 16">
          <a:extLst>
            <a:ext uri="{FF2B5EF4-FFF2-40B4-BE49-F238E27FC236}">
              <a16:creationId xmlns:a16="http://schemas.microsoft.com/office/drawing/2014/main" xmlns="" id="{04D0FE7C-050F-4170-BC5D-D6CD142FCB88}"/>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18" name="TextBox 17">
          <a:extLst>
            <a:ext uri="{FF2B5EF4-FFF2-40B4-BE49-F238E27FC236}">
              <a16:creationId xmlns:a16="http://schemas.microsoft.com/office/drawing/2014/main" xmlns="" id="{D8E0595D-556B-415E-830C-50F0348B69F3}"/>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19" name="TextBox 18">
          <a:extLst>
            <a:ext uri="{FF2B5EF4-FFF2-40B4-BE49-F238E27FC236}">
              <a16:creationId xmlns:a16="http://schemas.microsoft.com/office/drawing/2014/main" xmlns="" id="{16005538-1CA8-4722-8493-5AC61B54D172}"/>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20" name="TextBox 19">
          <a:extLst>
            <a:ext uri="{FF2B5EF4-FFF2-40B4-BE49-F238E27FC236}">
              <a16:creationId xmlns:a16="http://schemas.microsoft.com/office/drawing/2014/main" xmlns="" id="{EF635C41-9F3B-40C8-B3C3-CEEC78270282}"/>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21" name="TextBox 20">
          <a:extLst>
            <a:ext uri="{FF2B5EF4-FFF2-40B4-BE49-F238E27FC236}">
              <a16:creationId xmlns:a16="http://schemas.microsoft.com/office/drawing/2014/main" xmlns="" id="{D7203EA1-A6CC-481D-8CFD-7D5194167831}"/>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2" name="TextBox 21">
          <a:extLst>
            <a:ext uri="{FF2B5EF4-FFF2-40B4-BE49-F238E27FC236}">
              <a16:creationId xmlns:a16="http://schemas.microsoft.com/office/drawing/2014/main" xmlns="" id="{A37741A2-2082-406B-ACEC-8A7BB1122ED7}"/>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3" name="TextBox 22">
          <a:extLst>
            <a:ext uri="{FF2B5EF4-FFF2-40B4-BE49-F238E27FC236}">
              <a16:creationId xmlns:a16="http://schemas.microsoft.com/office/drawing/2014/main" xmlns="" id="{8D58AF62-60FB-444A-8BF9-9E3B0B89726F}"/>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4" name="TextBox 23">
          <a:extLst>
            <a:ext uri="{FF2B5EF4-FFF2-40B4-BE49-F238E27FC236}">
              <a16:creationId xmlns:a16="http://schemas.microsoft.com/office/drawing/2014/main" xmlns="" id="{024D8628-1B92-4F5E-AB18-241174462E22}"/>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5" name="TextBox 24">
          <a:extLst>
            <a:ext uri="{FF2B5EF4-FFF2-40B4-BE49-F238E27FC236}">
              <a16:creationId xmlns:a16="http://schemas.microsoft.com/office/drawing/2014/main" xmlns="" id="{FE557705-3D8F-4453-A009-4BB894127985}"/>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6" name="TextBox 25">
          <a:extLst>
            <a:ext uri="{FF2B5EF4-FFF2-40B4-BE49-F238E27FC236}">
              <a16:creationId xmlns:a16="http://schemas.microsoft.com/office/drawing/2014/main" xmlns="" id="{88DC22E2-7B7E-4FE4-BA67-F8FC9AD7D63E}"/>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7" name="TextBox 26">
          <a:extLst>
            <a:ext uri="{FF2B5EF4-FFF2-40B4-BE49-F238E27FC236}">
              <a16:creationId xmlns:a16="http://schemas.microsoft.com/office/drawing/2014/main" xmlns="" id="{B0AD308E-71DF-4AD5-AF16-4CB87EE19F07}"/>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8" name="TextBox 27">
          <a:extLst>
            <a:ext uri="{FF2B5EF4-FFF2-40B4-BE49-F238E27FC236}">
              <a16:creationId xmlns:a16="http://schemas.microsoft.com/office/drawing/2014/main" xmlns="" id="{26A2BB9F-CBC9-4231-8D73-7100D01E49BA}"/>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29" name="TextBox 28">
          <a:extLst>
            <a:ext uri="{FF2B5EF4-FFF2-40B4-BE49-F238E27FC236}">
              <a16:creationId xmlns:a16="http://schemas.microsoft.com/office/drawing/2014/main" xmlns="" id="{96B3F162-96A4-4D96-A77D-F19E8F566C3E}"/>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0" name="TextBox 29">
          <a:extLst>
            <a:ext uri="{FF2B5EF4-FFF2-40B4-BE49-F238E27FC236}">
              <a16:creationId xmlns:a16="http://schemas.microsoft.com/office/drawing/2014/main" xmlns="" id="{4D39703B-FD47-4415-AFCA-A040C21CD5E8}"/>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1" name="TextBox 30">
          <a:extLst>
            <a:ext uri="{FF2B5EF4-FFF2-40B4-BE49-F238E27FC236}">
              <a16:creationId xmlns:a16="http://schemas.microsoft.com/office/drawing/2014/main" xmlns="" id="{58941944-C5DE-45AF-A0A3-414CD5AD1138}"/>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2" name="TextBox 31">
          <a:extLst>
            <a:ext uri="{FF2B5EF4-FFF2-40B4-BE49-F238E27FC236}">
              <a16:creationId xmlns:a16="http://schemas.microsoft.com/office/drawing/2014/main" xmlns="" id="{77633DDC-2D80-403D-BC9E-C9E7B4BB274C}"/>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3" name="TextBox 32">
          <a:extLst>
            <a:ext uri="{FF2B5EF4-FFF2-40B4-BE49-F238E27FC236}">
              <a16:creationId xmlns:a16="http://schemas.microsoft.com/office/drawing/2014/main" xmlns="" id="{1AB8DB84-AD38-4BD9-9D0D-CE24877B5AAE}"/>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4" name="TextBox 33">
          <a:extLst>
            <a:ext uri="{FF2B5EF4-FFF2-40B4-BE49-F238E27FC236}">
              <a16:creationId xmlns:a16="http://schemas.microsoft.com/office/drawing/2014/main" xmlns="" id="{8F53368F-F9E0-445D-97A1-1A5E0DF3750D}"/>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5" name="TextBox 34">
          <a:extLst>
            <a:ext uri="{FF2B5EF4-FFF2-40B4-BE49-F238E27FC236}">
              <a16:creationId xmlns:a16="http://schemas.microsoft.com/office/drawing/2014/main" xmlns="" id="{8CD7EDFC-4829-4848-8C65-E83928BC8E2C}"/>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6" name="TextBox 35">
          <a:extLst>
            <a:ext uri="{FF2B5EF4-FFF2-40B4-BE49-F238E27FC236}">
              <a16:creationId xmlns:a16="http://schemas.microsoft.com/office/drawing/2014/main" xmlns="" id="{F74C969E-39D3-45EC-9E2B-B03F2DA12A93}"/>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7" name="TextBox 36">
          <a:extLst>
            <a:ext uri="{FF2B5EF4-FFF2-40B4-BE49-F238E27FC236}">
              <a16:creationId xmlns:a16="http://schemas.microsoft.com/office/drawing/2014/main" xmlns="" id="{70E0A5F4-93FA-4ECA-94DD-EC30C933D452}"/>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8" name="TextBox 37">
          <a:extLst>
            <a:ext uri="{FF2B5EF4-FFF2-40B4-BE49-F238E27FC236}">
              <a16:creationId xmlns:a16="http://schemas.microsoft.com/office/drawing/2014/main" xmlns="" id="{C206EF53-571F-49D7-808A-FC0C52F07B0B}"/>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39" name="TextBox 38">
          <a:extLst>
            <a:ext uri="{FF2B5EF4-FFF2-40B4-BE49-F238E27FC236}">
              <a16:creationId xmlns:a16="http://schemas.microsoft.com/office/drawing/2014/main" xmlns="" id="{6BC78B69-21A8-4301-A3FB-A59B405A4C13}"/>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0" name="TextBox 39">
          <a:extLst>
            <a:ext uri="{FF2B5EF4-FFF2-40B4-BE49-F238E27FC236}">
              <a16:creationId xmlns:a16="http://schemas.microsoft.com/office/drawing/2014/main" xmlns="" id="{FA9ACE74-D727-4D85-9DC0-0FE510EBCCBD}"/>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1" name="TextBox 40">
          <a:extLst>
            <a:ext uri="{FF2B5EF4-FFF2-40B4-BE49-F238E27FC236}">
              <a16:creationId xmlns:a16="http://schemas.microsoft.com/office/drawing/2014/main" xmlns="" id="{D6E03D5E-1101-4D58-A8FC-353EA00C5EF4}"/>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2" name="TextBox 41">
          <a:extLst>
            <a:ext uri="{FF2B5EF4-FFF2-40B4-BE49-F238E27FC236}">
              <a16:creationId xmlns:a16="http://schemas.microsoft.com/office/drawing/2014/main" xmlns="" id="{A7AF9FB3-9FE7-4651-994A-527AC73B6300}"/>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3" name="TextBox 42">
          <a:extLst>
            <a:ext uri="{FF2B5EF4-FFF2-40B4-BE49-F238E27FC236}">
              <a16:creationId xmlns:a16="http://schemas.microsoft.com/office/drawing/2014/main" xmlns="" id="{3D3C78D7-8C43-4558-A94A-7F2FAD290F5C}"/>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4" name="TextBox 43">
          <a:extLst>
            <a:ext uri="{FF2B5EF4-FFF2-40B4-BE49-F238E27FC236}">
              <a16:creationId xmlns:a16="http://schemas.microsoft.com/office/drawing/2014/main" xmlns="" id="{8F2D9AE0-29FC-4049-B57F-A628772B8714}"/>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5" name="TextBox 44">
          <a:extLst>
            <a:ext uri="{FF2B5EF4-FFF2-40B4-BE49-F238E27FC236}">
              <a16:creationId xmlns:a16="http://schemas.microsoft.com/office/drawing/2014/main" xmlns="" id="{8F7BCB86-246A-40D3-9FF0-EAF66FF893C2}"/>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6" name="TextBox 45">
          <a:extLst>
            <a:ext uri="{FF2B5EF4-FFF2-40B4-BE49-F238E27FC236}">
              <a16:creationId xmlns:a16="http://schemas.microsoft.com/office/drawing/2014/main" xmlns="" id="{DB97B312-AAD2-448C-BD09-FE71CE3271EF}"/>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7" name="TextBox 46">
          <a:extLst>
            <a:ext uri="{FF2B5EF4-FFF2-40B4-BE49-F238E27FC236}">
              <a16:creationId xmlns:a16="http://schemas.microsoft.com/office/drawing/2014/main" xmlns="" id="{D0972EC0-76CD-4157-B8EC-A2F2BD26D5DD}"/>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8" name="TextBox 47">
          <a:extLst>
            <a:ext uri="{FF2B5EF4-FFF2-40B4-BE49-F238E27FC236}">
              <a16:creationId xmlns:a16="http://schemas.microsoft.com/office/drawing/2014/main" xmlns="" id="{EA58490A-411B-4039-A284-C5BEBF055E7B}"/>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49" name="TextBox 48">
          <a:extLst>
            <a:ext uri="{FF2B5EF4-FFF2-40B4-BE49-F238E27FC236}">
              <a16:creationId xmlns:a16="http://schemas.microsoft.com/office/drawing/2014/main" xmlns="" id="{46ECBB28-0BE7-4CBA-8924-5A47742A9D16}"/>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0" name="TextBox 49">
          <a:extLst>
            <a:ext uri="{FF2B5EF4-FFF2-40B4-BE49-F238E27FC236}">
              <a16:creationId xmlns:a16="http://schemas.microsoft.com/office/drawing/2014/main" xmlns="" id="{5E0F26D9-0CF4-4BAD-8C20-EB2308F8A427}"/>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1" name="TextBox 50">
          <a:extLst>
            <a:ext uri="{FF2B5EF4-FFF2-40B4-BE49-F238E27FC236}">
              <a16:creationId xmlns:a16="http://schemas.microsoft.com/office/drawing/2014/main" xmlns="" id="{164017E1-9080-477E-A40B-C3CCD693AFF5}"/>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2" name="TextBox 51">
          <a:extLst>
            <a:ext uri="{FF2B5EF4-FFF2-40B4-BE49-F238E27FC236}">
              <a16:creationId xmlns:a16="http://schemas.microsoft.com/office/drawing/2014/main" xmlns="" id="{D8F14908-CD12-45C9-808A-80330B874AFB}"/>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3" name="TextBox 52">
          <a:extLst>
            <a:ext uri="{FF2B5EF4-FFF2-40B4-BE49-F238E27FC236}">
              <a16:creationId xmlns:a16="http://schemas.microsoft.com/office/drawing/2014/main" xmlns="" id="{E0BEE560-A70A-45FE-99E8-83DF56D3B49F}"/>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4" name="TextBox 53">
          <a:extLst>
            <a:ext uri="{FF2B5EF4-FFF2-40B4-BE49-F238E27FC236}">
              <a16:creationId xmlns:a16="http://schemas.microsoft.com/office/drawing/2014/main" xmlns="" id="{692DF902-D840-46E5-8A4A-4D54D1DB7687}"/>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5" name="TextBox 54">
          <a:extLst>
            <a:ext uri="{FF2B5EF4-FFF2-40B4-BE49-F238E27FC236}">
              <a16:creationId xmlns:a16="http://schemas.microsoft.com/office/drawing/2014/main" xmlns="" id="{5559F7E1-ED14-479C-ADE0-DB18F29C231C}"/>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6" name="TextBox 55">
          <a:extLst>
            <a:ext uri="{FF2B5EF4-FFF2-40B4-BE49-F238E27FC236}">
              <a16:creationId xmlns:a16="http://schemas.microsoft.com/office/drawing/2014/main" xmlns="" id="{0A593ED2-2992-4E54-8BC3-748EF9FF54C8}"/>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7" name="TextBox 56">
          <a:extLst>
            <a:ext uri="{FF2B5EF4-FFF2-40B4-BE49-F238E27FC236}">
              <a16:creationId xmlns:a16="http://schemas.microsoft.com/office/drawing/2014/main" xmlns="" id="{CDA03584-20A5-4D09-96F7-291BF581F410}"/>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8" name="TextBox 57">
          <a:extLst>
            <a:ext uri="{FF2B5EF4-FFF2-40B4-BE49-F238E27FC236}">
              <a16:creationId xmlns:a16="http://schemas.microsoft.com/office/drawing/2014/main" xmlns="" id="{4F758EE2-9737-4B7C-9C06-A0CB8C42DC7D}"/>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59" name="TextBox 58">
          <a:extLst>
            <a:ext uri="{FF2B5EF4-FFF2-40B4-BE49-F238E27FC236}">
              <a16:creationId xmlns:a16="http://schemas.microsoft.com/office/drawing/2014/main" xmlns="" id="{015A1C56-9B06-4059-98F0-6EC52DDFDE94}"/>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60" name="TextBox 59">
          <a:extLst>
            <a:ext uri="{FF2B5EF4-FFF2-40B4-BE49-F238E27FC236}">
              <a16:creationId xmlns:a16="http://schemas.microsoft.com/office/drawing/2014/main" xmlns="" id="{8A801145-B334-4738-A5E4-8E46A34BB2CF}"/>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61" name="TextBox 60">
          <a:extLst>
            <a:ext uri="{FF2B5EF4-FFF2-40B4-BE49-F238E27FC236}">
              <a16:creationId xmlns:a16="http://schemas.microsoft.com/office/drawing/2014/main" xmlns="" id="{ABA7C5C2-68BB-4BA3-B6E0-B8C1EC1D564E}"/>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62" name="TextBox 61">
          <a:extLst>
            <a:ext uri="{FF2B5EF4-FFF2-40B4-BE49-F238E27FC236}">
              <a16:creationId xmlns:a16="http://schemas.microsoft.com/office/drawing/2014/main" xmlns="" id="{48EEDDAD-925D-4956-BC4A-557DDFECEDF2}"/>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63" name="TextBox 62">
          <a:extLst>
            <a:ext uri="{FF2B5EF4-FFF2-40B4-BE49-F238E27FC236}">
              <a16:creationId xmlns:a16="http://schemas.microsoft.com/office/drawing/2014/main" xmlns="" id="{115F11AC-E593-4780-B649-7229DD3D862E}"/>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64" name="TextBox 63">
          <a:extLst>
            <a:ext uri="{FF2B5EF4-FFF2-40B4-BE49-F238E27FC236}">
              <a16:creationId xmlns:a16="http://schemas.microsoft.com/office/drawing/2014/main" xmlns="" id="{B49E39A2-48FD-45C1-86EB-C413E1328A80}"/>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65" name="TextBox 64">
          <a:extLst>
            <a:ext uri="{FF2B5EF4-FFF2-40B4-BE49-F238E27FC236}">
              <a16:creationId xmlns:a16="http://schemas.microsoft.com/office/drawing/2014/main" xmlns="" id="{A5C936E9-AA1A-4907-B262-B71084286BDF}"/>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66" name="TextBox 65">
          <a:extLst>
            <a:ext uri="{FF2B5EF4-FFF2-40B4-BE49-F238E27FC236}">
              <a16:creationId xmlns:a16="http://schemas.microsoft.com/office/drawing/2014/main" xmlns="" id="{6290FFCB-44B9-44E0-83F1-ED6FA1FE7106}"/>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67" name="TextBox 66">
          <a:extLst>
            <a:ext uri="{FF2B5EF4-FFF2-40B4-BE49-F238E27FC236}">
              <a16:creationId xmlns:a16="http://schemas.microsoft.com/office/drawing/2014/main" xmlns="" id="{8D90D78C-406E-4F02-A1A7-26488F73BAFA}"/>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68" name="TextBox 67">
          <a:extLst>
            <a:ext uri="{FF2B5EF4-FFF2-40B4-BE49-F238E27FC236}">
              <a16:creationId xmlns:a16="http://schemas.microsoft.com/office/drawing/2014/main" xmlns="" id="{28B90130-1307-4C46-8D6C-E411201594CB}"/>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69" name="TextBox 68">
          <a:extLst>
            <a:ext uri="{FF2B5EF4-FFF2-40B4-BE49-F238E27FC236}">
              <a16:creationId xmlns:a16="http://schemas.microsoft.com/office/drawing/2014/main" xmlns="" id="{0B1413D3-7D69-48A0-BDBA-78CF90A164C3}"/>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70" name="TextBox 69">
          <a:extLst>
            <a:ext uri="{FF2B5EF4-FFF2-40B4-BE49-F238E27FC236}">
              <a16:creationId xmlns:a16="http://schemas.microsoft.com/office/drawing/2014/main" xmlns="" id="{F2AB0BD4-79A5-4DC8-BD91-D931D34E9EE9}"/>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361</xdr:row>
      <xdr:rowOff>0</xdr:rowOff>
    </xdr:from>
    <xdr:ext cx="65" cy="172227"/>
    <xdr:sp macro="" textlink="">
      <xdr:nvSpPr>
        <xdr:cNvPr id="71" name="TextBox 70">
          <a:extLst>
            <a:ext uri="{FF2B5EF4-FFF2-40B4-BE49-F238E27FC236}">
              <a16:creationId xmlns:a16="http://schemas.microsoft.com/office/drawing/2014/main" xmlns="" id="{49C9E937-0313-45B3-A4FA-01AFFC59BE0E}"/>
            </a:ext>
          </a:extLst>
        </xdr:cNvPr>
        <xdr:cNvSpPr txBox="1"/>
      </xdr:nvSpPr>
      <xdr:spPr>
        <a:xfrm>
          <a:off x="7584016" y="164087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2" name="TextBox 71">
          <a:extLst>
            <a:ext uri="{FF2B5EF4-FFF2-40B4-BE49-F238E27FC236}">
              <a16:creationId xmlns:a16="http://schemas.microsoft.com/office/drawing/2014/main" xmlns="" id="{30A40025-E756-4A14-AC79-C7BAF3824979}"/>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3" name="TextBox 72">
          <a:extLst>
            <a:ext uri="{FF2B5EF4-FFF2-40B4-BE49-F238E27FC236}">
              <a16:creationId xmlns:a16="http://schemas.microsoft.com/office/drawing/2014/main" xmlns="" id="{2202AA4F-4435-49C4-89A6-D63E10C89671}"/>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4" name="TextBox 73">
          <a:extLst>
            <a:ext uri="{FF2B5EF4-FFF2-40B4-BE49-F238E27FC236}">
              <a16:creationId xmlns:a16="http://schemas.microsoft.com/office/drawing/2014/main" xmlns="" id="{1A457633-767D-4A99-A603-F26D4B82D3DC}"/>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5" name="TextBox 74">
          <a:extLst>
            <a:ext uri="{FF2B5EF4-FFF2-40B4-BE49-F238E27FC236}">
              <a16:creationId xmlns:a16="http://schemas.microsoft.com/office/drawing/2014/main" xmlns="" id="{B290FB13-8F4A-457B-8029-7DB90C7B42F4}"/>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6" name="TextBox 75">
          <a:extLst>
            <a:ext uri="{FF2B5EF4-FFF2-40B4-BE49-F238E27FC236}">
              <a16:creationId xmlns:a16="http://schemas.microsoft.com/office/drawing/2014/main" xmlns="" id="{24F87CD9-A273-44F8-B0C7-06C13A535040}"/>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7" name="TextBox 76">
          <a:extLst>
            <a:ext uri="{FF2B5EF4-FFF2-40B4-BE49-F238E27FC236}">
              <a16:creationId xmlns:a16="http://schemas.microsoft.com/office/drawing/2014/main" xmlns="" id="{9EB5E5D1-1085-4DE9-9CB7-5AA50074C8E3}"/>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8" name="TextBox 77">
          <a:extLst>
            <a:ext uri="{FF2B5EF4-FFF2-40B4-BE49-F238E27FC236}">
              <a16:creationId xmlns:a16="http://schemas.microsoft.com/office/drawing/2014/main" xmlns="" id="{AD0BD3E8-9C3F-4366-96D4-FA3F2BC739CE}"/>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79" name="TextBox 78">
          <a:extLst>
            <a:ext uri="{FF2B5EF4-FFF2-40B4-BE49-F238E27FC236}">
              <a16:creationId xmlns:a16="http://schemas.microsoft.com/office/drawing/2014/main" xmlns="" id="{E5655006-C8D6-4103-9431-31B296610B5A}"/>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0" name="TextBox 79">
          <a:extLst>
            <a:ext uri="{FF2B5EF4-FFF2-40B4-BE49-F238E27FC236}">
              <a16:creationId xmlns:a16="http://schemas.microsoft.com/office/drawing/2014/main" xmlns="" id="{FD0E082B-F672-4100-9312-9F8042EB07CA}"/>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1" name="TextBox 80">
          <a:extLst>
            <a:ext uri="{FF2B5EF4-FFF2-40B4-BE49-F238E27FC236}">
              <a16:creationId xmlns:a16="http://schemas.microsoft.com/office/drawing/2014/main" xmlns="" id="{86068A19-F23E-4E2E-8E89-B1F4C31D85C2}"/>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2" name="TextBox 81">
          <a:extLst>
            <a:ext uri="{FF2B5EF4-FFF2-40B4-BE49-F238E27FC236}">
              <a16:creationId xmlns:a16="http://schemas.microsoft.com/office/drawing/2014/main" xmlns="" id="{AFEECAAA-2795-4745-B5F4-D03EDB82D0DF}"/>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3" name="TextBox 82">
          <a:extLst>
            <a:ext uri="{FF2B5EF4-FFF2-40B4-BE49-F238E27FC236}">
              <a16:creationId xmlns:a16="http://schemas.microsoft.com/office/drawing/2014/main" xmlns="" id="{063C5712-A336-421D-9188-22BAA82BB645}"/>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4" name="TextBox 83">
          <a:extLst>
            <a:ext uri="{FF2B5EF4-FFF2-40B4-BE49-F238E27FC236}">
              <a16:creationId xmlns:a16="http://schemas.microsoft.com/office/drawing/2014/main" xmlns="" id="{899F13BB-A840-438E-A477-89EFF6600D28}"/>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5" name="TextBox 84">
          <a:extLst>
            <a:ext uri="{FF2B5EF4-FFF2-40B4-BE49-F238E27FC236}">
              <a16:creationId xmlns:a16="http://schemas.microsoft.com/office/drawing/2014/main" xmlns="" id="{8911190E-451C-456A-866E-303E37F23C6A}"/>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6" name="TextBox 85">
          <a:extLst>
            <a:ext uri="{FF2B5EF4-FFF2-40B4-BE49-F238E27FC236}">
              <a16:creationId xmlns:a16="http://schemas.microsoft.com/office/drawing/2014/main" xmlns="" id="{776F2FF4-AB3F-48BF-9CD4-3DA39651582B}"/>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7" name="TextBox 86">
          <a:extLst>
            <a:ext uri="{FF2B5EF4-FFF2-40B4-BE49-F238E27FC236}">
              <a16:creationId xmlns:a16="http://schemas.microsoft.com/office/drawing/2014/main" xmlns="" id="{B066B230-A4B4-4D1D-B088-AD5F4877F4A8}"/>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8" name="TextBox 87">
          <a:extLst>
            <a:ext uri="{FF2B5EF4-FFF2-40B4-BE49-F238E27FC236}">
              <a16:creationId xmlns:a16="http://schemas.microsoft.com/office/drawing/2014/main" xmlns="" id="{8D8858B2-F5C4-47F3-886C-2DD8BF407E6D}"/>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89" name="TextBox 88">
          <a:extLst>
            <a:ext uri="{FF2B5EF4-FFF2-40B4-BE49-F238E27FC236}">
              <a16:creationId xmlns:a16="http://schemas.microsoft.com/office/drawing/2014/main" xmlns="" id="{862FC672-5CA6-43D4-97A8-034B0A30D9E6}"/>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0" name="TextBox 89">
          <a:extLst>
            <a:ext uri="{FF2B5EF4-FFF2-40B4-BE49-F238E27FC236}">
              <a16:creationId xmlns:a16="http://schemas.microsoft.com/office/drawing/2014/main" xmlns="" id="{5EA47C40-8202-4077-93A9-78F68B6B8593}"/>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1" name="TextBox 90">
          <a:extLst>
            <a:ext uri="{FF2B5EF4-FFF2-40B4-BE49-F238E27FC236}">
              <a16:creationId xmlns:a16="http://schemas.microsoft.com/office/drawing/2014/main" xmlns="" id="{B5521032-D982-400D-9513-3BCF2B94F5E4}"/>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2" name="TextBox 91">
          <a:extLst>
            <a:ext uri="{FF2B5EF4-FFF2-40B4-BE49-F238E27FC236}">
              <a16:creationId xmlns:a16="http://schemas.microsoft.com/office/drawing/2014/main" xmlns="" id="{DBDE753E-20B5-4BC8-9509-70D1CD799F95}"/>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3" name="TextBox 92">
          <a:extLst>
            <a:ext uri="{FF2B5EF4-FFF2-40B4-BE49-F238E27FC236}">
              <a16:creationId xmlns:a16="http://schemas.microsoft.com/office/drawing/2014/main" xmlns="" id="{EBEDF1EF-E4FA-4329-A8B7-DE5DBA8880BB}"/>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4" name="TextBox 93">
          <a:extLst>
            <a:ext uri="{FF2B5EF4-FFF2-40B4-BE49-F238E27FC236}">
              <a16:creationId xmlns:a16="http://schemas.microsoft.com/office/drawing/2014/main" xmlns="" id="{EB64EEFB-4BB9-40FA-9C7F-E6A9A5BFF7E4}"/>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5" name="TextBox 94">
          <a:extLst>
            <a:ext uri="{FF2B5EF4-FFF2-40B4-BE49-F238E27FC236}">
              <a16:creationId xmlns:a16="http://schemas.microsoft.com/office/drawing/2014/main" xmlns="" id="{C77BDA80-093E-40BF-9430-8DC7402AACE8}"/>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6" name="TextBox 95">
          <a:extLst>
            <a:ext uri="{FF2B5EF4-FFF2-40B4-BE49-F238E27FC236}">
              <a16:creationId xmlns:a16="http://schemas.microsoft.com/office/drawing/2014/main" xmlns="" id="{F55F6067-51F7-42C4-B1FF-B10FA2B466CD}"/>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7" name="TextBox 96">
          <a:extLst>
            <a:ext uri="{FF2B5EF4-FFF2-40B4-BE49-F238E27FC236}">
              <a16:creationId xmlns:a16="http://schemas.microsoft.com/office/drawing/2014/main" xmlns="" id="{F077BE6F-BD7F-43D6-A4C1-B5F322699972}"/>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8" name="TextBox 97">
          <a:extLst>
            <a:ext uri="{FF2B5EF4-FFF2-40B4-BE49-F238E27FC236}">
              <a16:creationId xmlns:a16="http://schemas.microsoft.com/office/drawing/2014/main" xmlns="" id="{432945B9-0912-4F42-91E7-FE9C17B98AA4}"/>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99" name="TextBox 98">
          <a:extLst>
            <a:ext uri="{FF2B5EF4-FFF2-40B4-BE49-F238E27FC236}">
              <a16:creationId xmlns:a16="http://schemas.microsoft.com/office/drawing/2014/main" xmlns="" id="{7F9021C9-F9F1-45BB-880E-A1BE4408BD9C}"/>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100" name="TextBox 99">
          <a:extLst>
            <a:ext uri="{FF2B5EF4-FFF2-40B4-BE49-F238E27FC236}">
              <a16:creationId xmlns:a16="http://schemas.microsoft.com/office/drawing/2014/main" xmlns="" id="{6FBEA062-7310-4CC1-9501-ACC216A3BE80}"/>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897466</xdr:colOff>
      <xdr:row>529</xdr:row>
      <xdr:rowOff>0</xdr:rowOff>
    </xdr:from>
    <xdr:ext cx="65" cy="172227"/>
    <xdr:sp macro="" textlink="">
      <xdr:nvSpPr>
        <xdr:cNvPr id="101" name="TextBox 100">
          <a:extLst>
            <a:ext uri="{FF2B5EF4-FFF2-40B4-BE49-F238E27FC236}">
              <a16:creationId xmlns:a16="http://schemas.microsoft.com/office/drawing/2014/main" xmlns="" id="{91BAA887-C6E4-4CC2-8875-E2C390AD8695}"/>
            </a:ext>
          </a:extLst>
        </xdr:cNvPr>
        <xdr:cNvSpPr txBox="1"/>
      </xdr:nvSpPr>
      <xdr:spPr>
        <a:xfrm>
          <a:off x="7584016" y="20506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 name="TextBox 101">
          <a:extLst>
            <a:ext uri="{FF2B5EF4-FFF2-40B4-BE49-F238E27FC236}">
              <a16:creationId xmlns:a16="http://schemas.microsoft.com/office/drawing/2014/main" xmlns="" id="{01C0F37C-C203-429A-AAA4-917DC81CB44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 name="TextBox 102">
          <a:extLst>
            <a:ext uri="{FF2B5EF4-FFF2-40B4-BE49-F238E27FC236}">
              <a16:creationId xmlns:a16="http://schemas.microsoft.com/office/drawing/2014/main" xmlns="" id="{0D3B1175-7526-4F5A-9A76-FA24A3103C9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 name="TextBox 103">
          <a:extLst>
            <a:ext uri="{FF2B5EF4-FFF2-40B4-BE49-F238E27FC236}">
              <a16:creationId xmlns:a16="http://schemas.microsoft.com/office/drawing/2014/main" xmlns="" id="{8C567A0B-5C6D-4877-860D-F49B25FEE66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 name="TextBox 104">
          <a:extLst>
            <a:ext uri="{FF2B5EF4-FFF2-40B4-BE49-F238E27FC236}">
              <a16:creationId xmlns:a16="http://schemas.microsoft.com/office/drawing/2014/main" xmlns="" id="{0EB9D34F-EB51-43B0-8B8A-86F536CDD03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 name="TextBox 105">
          <a:extLst>
            <a:ext uri="{FF2B5EF4-FFF2-40B4-BE49-F238E27FC236}">
              <a16:creationId xmlns:a16="http://schemas.microsoft.com/office/drawing/2014/main" xmlns="" id="{FA00063E-3F86-49DF-B7C0-8AC74AF81FF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 name="TextBox 106">
          <a:extLst>
            <a:ext uri="{FF2B5EF4-FFF2-40B4-BE49-F238E27FC236}">
              <a16:creationId xmlns:a16="http://schemas.microsoft.com/office/drawing/2014/main" xmlns="" id="{1A1B45D1-383F-4479-9A12-52DA0AF1CAB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 name="TextBox 107">
          <a:extLst>
            <a:ext uri="{FF2B5EF4-FFF2-40B4-BE49-F238E27FC236}">
              <a16:creationId xmlns:a16="http://schemas.microsoft.com/office/drawing/2014/main" xmlns="" id="{DC6A867A-C8F1-4882-8D0D-485F8F04F3B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 name="TextBox 108">
          <a:extLst>
            <a:ext uri="{FF2B5EF4-FFF2-40B4-BE49-F238E27FC236}">
              <a16:creationId xmlns:a16="http://schemas.microsoft.com/office/drawing/2014/main" xmlns="" id="{F29C429B-9132-4164-80B0-CAA305B5092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 name="TextBox 109">
          <a:extLst>
            <a:ext uri="{FF2B5EF4-FFF2-40B4-BE49-F238E27FC236}">
              <a16:creationId xmlns:a16="http://schemas.microsoft.com/office/drawing/2014/main" xmlns="" id="{03531B1B-20DC-4CF4-B4A5-C7347922E6B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 name="TextBox 110">
          <a:extLst>
            <a:ext uri="{FF2B5EF4-FFF2-40B4-BE49-F238E27FC236}">
              <a16:creationId xmlns:a16="http://schemas.microsoft.com/office/drawing/2014/main" xmlns="" id="{9C9AE522-BFEE-466F-A9E0-68FC817BA8B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2" name="TextBox 111">
          <a:extLst>
            <a:ext uri="{FF2B5EF4-FFF2-40B4-BE49-F238E27FC236}">
              <a16:creationId xmlns:a16="http://schemas.microsoft.com/office/drawing/2014/main" xmlns="" id="{CF6B04CA-98B2-4DD3-88BF-5E4D4776AE6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3" name="TextBox 112">
          <a:extLst>
            <a:ext uri="{FF2B5EF4-FFF2-40B4-BE49-F238E27FC236}">
              <a16:creationId xmlns:a16="http://schemas.microsoft.com/office/drawing/2014/main" xmlns="" id="{7D0F8B40-ECC8-4555-A94E-DF3BE399EBC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4" name="TextBox 113">
          <a:extLst>
            <a:ext uri="{FF2B5EF4-FFF2-40B4-BE49-F238E27FC236}">
              <a16:creationId xmlns:a16="http://schemas.microsoft.com/office/drawing/2014/main" xmlns="" id="{B8BA91B4-B571-4341-914D-05FD07DA4EA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5" name="TextBox 114">
          <a:extLst>
            <a:ext uri="{FF2B5EF4-FFF2-40B4-BE49-F238E27FC236}">
              <a16:creationId xmlns:a16="http://schemas.microsoft.com/office/drawing/2014/main" xmlns="" id="{44439FE6-0778-49F3-A212-7FD8BC47274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6" name="TextBox 115">
          <a:extLst>
            <a:ext uri="{FF2B5EF4-FFF2-40B4-BE49-F238E27FC236}">
              <a16:creationId xmlns:a16="http://schemas.microsoft.com/office/drawing/2014/main" xmlns="" id="{048CD52C-868F-4054-BEED-7067354821F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7" name="TextBox 116">
          <a:extLst>
            <a:ext uri="{FF2B5EF4-FFF2-40B4-BE49-F238E27FC236}">
              <a16:creationId xmlns:a16="http://schemas.microsoft.com/office/drawing/2014/main" xmlns="" id="{FF8A4A31-D80A-4143-99D1-0EC5681BC1A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8" name="TextBox 117">
          <a:extLst>
            <a:ext uri="{FF2B5EF4-FFF2-40B4-BE49-F238E27FC236}">
              <a16:creationId xmlns:a16="http://schemas.microsoft.com/office/drawing/2014/main" xmlns="" id="{CC51EB4A-6937-428E-824D-0F853180AA0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9" name="TextBox 118">
          <a:extLst>
            <a:ext uri="{FF2B5EF4-FFF2-40B4-BE49-F238E27FC236}">
              <a16:creationId xmlns:a16="http://schemas.microsoft.com/office/drawing/2014/main" xmlns="" id="{07C26FC9-B0A5-4739-801E-824428D6879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0" name="TextBox 119">
          <a:extLst>
            <a:ext uri="{FF2B5EF4-FFF2-40B4-BE49-F238E27FC236}">
              <a16:creationId xmlns:a16="http://schemas.microsoft.com/office/drawing/2014/main" xmlns="" id="{DEE77432-9D3A-481C-9457-12A1F68E906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1" name="TextBox 120">
          <a:extLst>
            <a:ext uri="{FF2B5EF4-FFF2-40B4-BE49-F238E27FC236}">
              <a16:creationId xmlns:a16="http://schemas.microsoft.com/office/drawing/2014/main" xmlns="" id="{03BF4B74-F0BC-4025-81AD-F3E70789235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2" name="TextBox 121">
          <a:extLst>
            <a:ext uri="{FF2B5EF4-FFF2-40B4-BE49-F238E27FC236}">
              <a16:creationId xmlns:a16="http://schemas.microsoft.com/office/drawing/2014/main" xmlns="" id="{9E784E65-06E0-451F-B91A-1BD96E73DED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3" name="TextBox 122">
          <a:extLst>
            <a:ext uri="{FF2B5EF4-FFF2-40B4-BE49-F238E27FC236}">
              <a16:creationId xmlns:a16="http://schemas.microsoft.com/office/drawing/2014/main" xmlns="" id="{C4C02C7B-9343-4AEE-996A-1F86BFD0FB8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4" name="TextBox 123">
          <a:extLst>
            <a:ext uri="{FF2B5EF4-FFF2-40B4-BE49-F238E27FC236}">
              <a16:creationId xmlns:a16="http://schemas.microsoft.com/office/drawing/2014/main" xmlns="" id="{8F974506-01D1-43C1-85F2-69525161C57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5" name="TextBox 124">
          <a:extLst>
            <a:ext uri="{FF2B5EF4-FFF2-40B4-BE49-F238E27FC236}">
              <a16:creationId xmlns:a16="http://schemas.microsoft.com/office/drawing/2014/main" xmlns="" id="{A0BCA2FA-73D8-4B73-89B4-692BF198F27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6" name="TextBox 125">
          <a:extLst>
            <a:ext uri="{FF2B5EF4-FFF2-40B4-BE49-F238E27FC236}">
              <a16:creationId xmlns:a16="http://schemas.microsoft.com/office/drawing/2014/main" xmlns="" id="{9FBE7332-5D14-44F5-84C8-2A112FA84A1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7" name="TextBox 126">
          <a:extLst>
            <a:ext uri="{FF2B5EF4-FFF2-40B4-BE49-F238E27FC236}">
              <a16:creationId xmlns:a16="http://schemas.microsoft.com/office/drawing/2014/main" xmlns="" id="{E1AF68E3-9AFC-4EFD-8D95-584909E358E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8" name="TextBox 127">
          <a:extLst>
            <a:ext uri="{FF2B5EF4-FFF2-40B4-BE49-F238E27FC236}">
              <a16:creationId xmlns:a16="http://schemas.microsoft.com/office/drawing/2014/main" xmlns="" id="{BBA3BF3E-F108-41A9-B906-7EB40BD3D0E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29" name="TextBox 128">
          <a:extLst>
            <a:ext uri="{FF2B5EF4-FFF2-40B4-BE49-F238E27FC236}">
              <a16:creationId xmlns:a16="http://schemas.microsoft.com/office/drawing/2014/main" xmlns="" id="{F020B321-8AF1-4474-957F-62F4B60FCAA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0" name="TextBox 129">
          <a:extLst>
            <a:ext uri="{FF2B5EF4-FFF2-40B4-BE49-F238E27FC236}">
              <a16:creationId xmlns:a16="http://schemas.microsoft.com/office/drawing/2014/main" xmlns="" id="{A336E970-D2C3-47D6-8D9C-DCDC3DEFC1E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1" name="TextBox 130">
          <a:extLst>
            <a:ext uri="{FF2B5EF4-FFF2-40B4-BE49-F238E27FC236}">
              <a16:creationId xmlns:a16="http://schemas.microsoft.com/office/drawing/2014/main" xmlns="" id="{21D129A5-D697-4F70-BFBD-33F6154F77A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2" name="TextBox 131">
          <a:extLst>
            <a:ext uri="{FF2B5EF4-FFF2-40B4-BE49-F238E27FC236}">
              <a16:creationId xmlns:a16="http://schemas.microsoft.com/office/drawing/2014/main" xmlns="" id="{A0A86EC2-5BA5-4A33-82AF-F77B75708AF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3" name="TextBox 132">
          <a:extLst>
            <a:ext uri="{FF2B5EF4-FFF2-40B4-BE49-F238E27FC236}">
              <a16:creationId xmlns:a16="http://schemas.microsoft.com/office/drawing/2014/main" xmlns="" id="{4D69319D-3379-4012-8F4F-EB9E007CE37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4" name="TextBox 133">
          <a:extLst>
            <a:ext uri="{FF2B5EF4-FFF2-40B4-BE49-F238E27FC236}">
              <a16:creationId xmlns:a16="http://schemas.microsoft.com/office/drawing/2014/main" xmlns="" id="{ADE2F53E-F1AD-4AEC-9217-69FBF463C81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5" name="TextBox 134">
          <a:extLst>
            <a:ext uri="{FF2B5EF4-FFF2-40B4-BE49-F238E27FC236}">
              <a16:creationId xmlns:a16="http://schemas.microsoft.com/office/drawing/2014/main" xmlns="" id="{2994D99E-9667-438D-A332-FEBD443F9DD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6" name="TextBox 135">
          <a:extLst>
            <a:ext uri="{FF2B5EF4-FFF2-40B4-BE49-F238E27FC236}">
              <a16:creationId xmlns:a16="http://schemas.microsoft.com/office/drawing/2014/main" xmlns="" id="{9A4FB880-4F82-4F6B-BFDF-F2B7E4A0009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7" name="TextBox 136">
          <a:extLst>
            <a:ext uri="{FF2B5EF4-FFF2-40B4-BE49-F238E27FC236}">
              <a16:creationId xmlns:a16="http://schemas.microsoft.com/office/drawing/2014/main" xmlns="" id="{99DE57AC-9497-4FAF-A20E-0D2982E0901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8" name="TextBox 137">
          <a:extLst>
            <a:ext uri="{FF2B5EF4-FFF2-40B4-BE49-F238E27FC236}">
              <a16:creationId xmlns:a16="http://schemas.microsoft.com/office/drawing/2014/main" xmlns="" id="{CFD051F4-EED8-492B-B8E4-16629D97ABD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39" name="TextBox 138">
          <a:extLst>
            <a:ext uri="{FF2B5EF4-FFF2-40B4-BE49-F238E27FC236}">
              <a16:creationId xmlns:a16="http://schemas.microsoft.com/office/drawing/2014/main" xmlns="" id="{B936117D-A561-4C3B-94D4-17E6CA3BE37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40" name="TextBox 139">
          <a:extLst>
            <a:ext uri="{FF2B5EF4-FFF2-40B4-BE49-F238E27FC236}">
              <a16:creationId xmlns:a16="http://schemas.microsoft.com/office/drawing/2014/main" xmlns="" id="{D69FE99A-1AB2-46BE-9A09-F0BBC4B149B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41" name="TextBox 140">
          <a:extLst>
            <a:ext uri="{FF2B5EF4-FFF2-40B4-BE49-F238E27FC236}">
              <a16:creationId xmlns:a16="http://schemas.microsoft.com/office/drawing/2014/main" xmlns="" id="{F7C3F1C4-DDD3-4B8F-AF3F-27DFD87983F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2" name="TextBox 141">
          <a:extLst>
            <a:ext uri="{FF2B5EF4-FFF2-40B4-BE49-F238E27FC236}">
              <a16:creationId xmlns:a16="http://schemas.microsoft.com/office/drawing/2014/main" xmlns="" id="{A5CF0CDE-BA19-49DC-B206-3DE63984820E}"/>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3" name="TextBox 142">
          <a:extLst>
            <a:ext uri="{FF2B5EF4-FFF2-40B4-BE49-F238E27FC236}">
              <a16:creationId xmlns:a16="http://schemas.microsoft.com/office/drawing/2014/main" xmlns="" id="{32400AEA-88F6-4782-BA71-6A1F3B7CA752}"/>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4" name="TextBox 143">
          <a:extLst>
            <a:ext uri="{FF2B5EF4-FFF2-40B4-BE49-F238E27FC236}">
              <a16:creationId xmlns:a16="http://schemas.microsoft.com/office/drawing/2014/main" xmlns="" id="{923EB538-32C1-44E5-AA42-404CAE625D0D}"/>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5" name="TextBox 144">
          <a:extLst>
            <a:ext uri="{FF2B5EF4-FFF2-40B4-BE49-F238E27FC236}">
              <a16:creationId xmlns:a16="http://schemas.microsoft.com/office/drawing/2014/main" xmlns="" id="{C6F58C5A-6D7F-4E84-833C-854EB65E2A79}"/>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6" name="TextBox 145">
          <a:extLst>
            <a:ext uri="{FF2B5EF4-FFF2-40B4-BE49-F238E27FC236}">
              <a16:creationId xmlns:a16="http://schemas.microsoft.com/office/drawing/2014/main" xmlns="" id="{3065948B-7D8D-47D2-A5BC-5CEE584D1ED0}"/>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7" name="TextBox 146">
          <a:extLst>
            <a:ext uri="{FF2B5EF4-FFF2-40B4-BE49-F238E27FC236}">
              <a16:creationId xmlns:a16="http://schemas.microsoft.com/office/drawing/2014/main" xmlns="" id="{FF383CFF-C5F9-4A66-9A3F-471C34EB8FDA}"/>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8" name="TextBox 147">
          <a:extLst>
            <a:ext uri="{FF2B5EF4-FFF2-40B4-BE49-F238E27FC236}">
              <a16:creationId xmlns:a16="http://schemas.microsoft.com/office/drawing/2014/main" xmlns="" id="{3B66F75B-200D-4E7B-8713-BEA4728199FB}"/>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49" name="TextBox 148">
          <a:extLst>
            <a:ext uri="{FF2B5EF4-FFF2-40B4-BE49-F238E27FC236}">
              <a16:creationId xmlns:a16="http://schemas.microsoft.com/office/drawing/2014/main" xmlns="" id="{244E5D6E-AA78-465A-93E1-1398D280C30A}"/>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50" name="TextBox 149">
          <a:extLst>
            <a:ext uri="{FF2B5EF4-FFF2-40B4-BE49-F238E27FC236}">
              <a16:creationId xmlns:a16="http://schemas.microsoft.com/office/drawing/2014/main" xmlns="" id="{DB1958E1-47F7-43FA-8DA7-B2E280A0A65D}"/>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51" name="TextBox 150">
          <a:extLst>
            <a:ext uri="{FF2B5EF4-FFF2-40B4-BE49-F238E27FC236}">
              <a16:creationId xmlns:a16="http://schemas.microsoft.com/office/drawing/2014/main" xmlns="" id="{0DE6E0D0-0FA7-4ABB-9BE0-A16D7688C9D0}"/>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2" name="TextBox 151">
          <a:extLst>
            <a:ext uri="{FF2B5EF4-FFF2-40B4-BE49-F238E27FC236}">
              <a16:creationId xmlns:a16="http://schemas.microsoft.com/office/drawing/2014/main" xmlns="" id="{DEAD4F28-A3CD-4E91-B464-3DBF3AA6331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3" name="TextBox 152">
          <a:extLst>
            <a:ext uri="{FF2B5EF4-FFF2-40B4-BE49-F238E27FC236}">
              <a16:creationId xmlns:a16="http://schemas.microsoft.com/office/drawing/2014/main" xmlns="" id="{C91B98CB-3432-4913-92FA-DFB80AE8E65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4" name="TextBox 153">
          <a:extLst>
            <a:ext uri="{FF2B5EF4-FFF2-40B4-BE49-F238E27FC236}">
              <a16:creationId xmlns:a16="http://schemas.microsoft.com/office/drawing/2014/main" xmlns="" id="{8F96C76A-CDE7-42FC-8F61-C87864A3524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5" name="TextBox 154">
          <a:extLst>
            <a:ext uri="{FF2B5EF4-FFF2-40B4-BE49-F238E27FC236}">
              <a16:creationId xmlns:a16="http://schemas.microsoft.com/office/drawing/2014/main" xmlns="" id="{3AB6AC00-E4F9-4444-8001-5ED4B55066B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6" name="TextBox 155">
          <a:extLst>
            <a:ext uri="{FF2B5EF4-FFF2-40B4-BE49-F238E27FC236}">
              <a16:creationId xmlns:a16="http://schemas.microsoft.com/office/drawing/2014/main" xmlns="" id="{E57EF4C2-FDCD-4DCA-B0C5-EEB2A247797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7" name="TextBox 156">
          <a:extLst>
            <a:ext uri="{FF2B5EF4-FFF2-40B4-BE49-F238E27FC236}">
              <a16:creationId xmlns:a16="http://schemas.microsoft.com/office/drawing/2014/main" xmlns="" id="{248CF636-56FD-4CE4-A4FE-FD9FD740515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8" name="TextBox 157">
          <a:extLst>
            <a:ext uri="{FF2B5EF4-FFF2-40B4-BE49-F238E27FC236}">
              <a16:creationId xmlns:a16="http://schemas.microsoft.com/office/drawing/2014/main" xmlns="" id="{EF7E66E6-8C98-433D-9108-EE949E12F14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59" name="TextBox 158">
          <a:extLst>
            <a:ext uri="{FF2B5EF4-FFF2-40B4-BE49-F238E27FC236}">
              <a16:creationId xmlns:a16="http://schemas.microsoft.com/office/drawing/2014/main" xmlns="" id="{F057479E-0F81-4E58-8333-4BD236B7F55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60" name="TextBox 159">
          <a:extLst>
            <a:ext uri="{FF2B5EF4-FFF2-40B4-BE49-F238E27FC236}">
              <a16:creationId xmlns:a16="http://schemas.microsoft.com/office/drawing/2014/main" xmlns="" id="{B5C221C1-4DAD-4F93-8DB5-146851F5D85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61" name="TextBox 160">
          <a:extLst>
            <a:ext uri="{FF2B5EF4-FFF2-40B4-BE49-F238E27FC236}">
              <a16:creationId xmlns:a16="http://schemas.microsoft.com/office/drawing/2014/main" xmlns="" id="{95313835-6F71-4335-8745-A5BAF6D1CF2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2" name="TextBox 161">
          <a:extLst>
            <a:ext uri="{FF2B5EF4-FFF2-40B4-BE49-F238E27FC236}">
              <a16:creationId xmlns:a16="http://schemas.microsoft.com/office/drawing/2014/main" xmlns="" id="{59906215-9F5A-4AF2-9D7F-74B03485FC40}"/>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3" name="TextBox 162">
          <a:extLst>
            <a:ext uri="{FF2B5EF4-FFF2-40B4-BE49-F238E27FC236}">
              <a16:creationId xmlns:a16="http://schemas.microsoft.com/office/drawing/2014/main" xmlns="" id="{A196E048-2B8B-4B69-A824-CA7F462E02C5}"/>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4" name="TextBox 163">
          <a:extLst>
            <a:ext uri="{FF2B5EF4-FFF2-40B4-BE49-F238E27FC236}">
              <a16:creationId xmlns:a16="http://schemas.microsoft.com/office/drawing/2014/main" xmlns="" id="{29641115-6200-4839-A2A7-48118F267802}"/>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5" name="TextBox 164">
          <a:extLst>
            <a:ext uri="{FF2B5EF4-FFF2-40B4-BE49-F238E27FC236}">
              <a16:creationId xmlns:a16="http://schemas.microsoft.com/office/drawing/2014/main" xmlns="" id="{513C8D47-51B6-4ADF-91C2-B536B330F902}"/>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6" name="TextBox 165">
          <a:extLst>
            <a:ext uri="{FF2B5EF4-FFF2-40B4-BE49-F238E27FC236}">
              <a16:creationId xmlns:a16="http://schemas.microsoft.com/office/drawing/2014/main" xmlns="" id="{ADC7FCE5-4F12-44AC-B09F-39DAAF06EC10}"/>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7" name="TextBox 166">
          <a:extLst>
            <a:ext uri="{FF2B5EF4-FFF2-40B4-BE49-F238E27FC236}">
              <a16:creationId xmlns:a16="http://schemas.microsoft.com/office/drawing/2014/main" xmlns="" id="{6CD42542-76A2-4EF0-8654-3AF4CFB1118E}"/>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8" name="TextBox 167">
          <a:extLst>
            <a:ext uri="{FF2B5EF4-FFF2-40B4-BE49-F238E27FC236}">
              <a16:creationId xmlns:a16="http://schemas.microsoft.com/office/drawing/2014/main" xmlns="" id="{A4C31B06-E0DF-4B1D-BF79-27D101E01374}"/>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69" name="TextBox 168">
          <a:extLst>
            <a:ext uri="{FF2B5EF4-FFF2-40B4-BE49-F238E27FC236}">
              <a16:creationId xmlns:a16="http://schemas.microsoft.com/office/drawing/2014/main" xmlns="" id="{21AE750B-167B-46CC-B60D-85EBF82D7FEF}"/>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70" name="TextBox 169">
          <a:extLst>
            <a:ext uri="{FF2B5EF4-FFF2-40B4-BE49-F238E27FC236}">
              <a16:creationId xmlns:a16="http://schemas.microsoft.com/office/drawing/2014/main" xmlns="" id="{2A65156A-7349-48C5-8DEE-D74B18D80451}"/>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171" name="TextBox 170">
          <a:extLst>
            <a:ext uri="{FF2B5EF4-FFF2-40B4-BE49-F238E27FC236}">
              <a16:creationId xmlns:a16="http://schemas.microsoft.com/office/drawing/2014/main" xmlns="" id="{AD92B36C-5513-4F3E-9E61-4814D2838CE5}"/>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2" name="TextBox 171">
          <a:extLst>
            <a:ext uri="{FF2B5EF4-FFF2-40B4-BE49-F238E27FC236}">
              <a16:creationId xmlns:a16="http://schemas.microsoft.com/office/drawing/2014/main" xmlns="" id="{859A3116-6588-4BEA-A7D6-9BBFB13111D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3" name="TextBox 172">
          <a:extLst>
            <a:ext uri="{FF2B5EF4-FFF2-40B4-BE49-F238E27FC236}">
              <a16:creationId xmlns:a16="http://schemas.microsoft.com/office/drawing/2014/main" xmlns="" id="{6AD82405-0CCB-4703-B5AB-F6AC23B76AC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4" name="TextBox 173">
          <a:extLst>
            <a:ext uri="{FF2B5EF4-FFF2-40B4-BE49-F238E27FC236}">
              <a16:creationId xmlns:a16="http://schemas.microsoft.com/office/drawing/2014/main" xmlns="" id="{DF20A46B-F6EA-4463-A98E-A0050F402FD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5" name="TextBox 174">
          <a:extLst>
            <a:ext uri="{FF2B5EF4-FFF2-40B4-BE49-F238E27FC236}">
              <a16:creationId xmlns:a16="http://schemas.microsoft.com/office/drawing/2014/main" xmlns="" id="{6082E908-6546-480E-9D1D-E92706229CE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6" name="TextBox 175">
          <a:extLst>
            <a:ext uri="{FF2B5EF4-FFF2-40B4-BE49-F238E27FC236}">
              <a16:creationId xmlns:a16="http://schemas.microsoft.com/office/drawing/2014/main" xmlns="" id="{C5A28A40-B486-4B94-8F31-7E01AA9E60C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7" name="TextBox 176">
          <a:extLst>
            <a:ext uri="{FF2B5EF4-FFF2-40B4-BE49-F238E27FC236}">
              <a16:creationId xmlns:a16="http://schemas.microsoft.com/office/drawing/2014/main" xmlns="" id="{5D4CC201-DEE9-40EB-9FCA-B84C1EE0C45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8" name="TextBox 177">
          <a:extLst>
            <a:ext uri="{FF2B5EF4-FFF2-40B4-BE49-F238E27FC236}">
              <a16:creationId xmlns:a16="http://schemas.microsoft.com/office/drawing/2014/main" xmlns="" id="{26F06A6F-D581-4E60-8988-3BD37F58B2A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79" name="TextBox 178">
          <a:extLst>
            <a:ext uri="{FF2B5EF4-FFF2-40B4-BE49-F238E27FC236}">
              <a16:creationId xmlns:a16="http://schemas.microsoft.com/office/drawing/2014/main" xmlns="" id="{442DD3EE-9F24-4934-A2C4-08F67598AB1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0" name="TextBox 179">
          <a:extLst>
            <a:ext uri="{FF2B5EF4-FFF2-40B4-BE49-F238E27FC236}">
              <a16:creationId xmlns:a16="http://schemas.microsoft.com/office/drawing/2014/main" xmlns="" id="{C77D8365-2870-4DBE-A330-8FBFCF188A3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1" name="TextBox 180">
          <a:extLst>
            <a:ext uri="{FF2B5EF4-FFF2-40B4-BE49-F238E27FC236}">
              <a16:creationId xmlns:a16="http://schemas.microsoft.com/office/drawing/2014/main" xmlns="" id="{EF389D5A-DC75-46E3-B6AE-395536C326E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2" name="TextBox 181">
          <a:extLst>
            <a:ext uri="{FF2B5EF4-FFF2-40B4-BE49-F238E27FC236}">
              <a16:creationId xmlns:a16="http://schemas.microsoft.com/office/drawing/2014/main" xmlns="" id="{1B25759A-2E6C-4298-820C-1AA85A5375B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3" name="TextBox 182">
          <a:extLst>
            <a:ext uri="{FF2B5EF4-FFF2-40B4-BE49-F238E27FC236}">
              <a16:creationId xmlns:a16="http://schemas.microsoft.com/office/drawing/2014/main" xmlns="" id="{A8212E9A-28A3-484C-A54D-86E6837084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4" name="TextBox 183">
          <a:extLst>
            <a:ext uri="{FF2B5EF4-FFF2-40B4-BE49-F238E27FC236}">
              <a16:creationId xmlns:a16="http://schemas.microsoft.com/office/drawing/2014/main" xmlns="" id="{4577A061-5089-4D4C-B5ED-9A025B5BCAD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5" name="TextBox 184">
          <a:extLst>
            <a:ext uri="{FF2B5EF4-FFF2-40B4-BE49-F238E27FC236}">
              <a16:creationId xmlns:a16="http://schemas.microsoft.com/office/drawing/2014/main" xmlns="" id="{FDC1E502-D305-49F6-A737-A39421BD7FE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6" name="TextBox 185">
          <a:extLst>
            <a:ext uri="{FF2B5EF4-FFF2-40B4-BE49-F238E27FC236}">
              <a16:creationId xmlns:a16="http://schemas.microsoft.com/office/drawing/2014/main" xmlns="" id="{40F4F3F1-EDEB-4DAC-BDDB-44E6FBE9B7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7" name="TextBox 186">
          <a:extLst>
            <a:ext uri="{FF2B5EF4-FFF2-40B4-BE49-F238E27FC236}">
              <a16:creationId xmlns:a16="http://schemas.microsoft.com/office/drawing/2014/main" xmlns="" id="{DA5A0EDB-4A6B-40B3-B185-3EA918BF621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8" name="TextBox 187">
          <a:extLst>
            <a:ext uri="{FF2B5EF4-FFF2-40B4-BE49-F238E27FC236}">
              <a16:creationId xmlns:a16="http://schemas.microsoft.com/office/drawing/2014/main" xmlns="" id="{B334520F-34D6-4A13-8C83-35B18087D35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89" name="TextBox 188">
          <a:extLst>
            <a:ext uri="{FF2B5EF4-FFF2-40B4-BE49-F238E27FC236}">
              <a16:creationId xmlns:a16="http://schemas.microsoft.com/office/drawing/2014/main" xmlns="" id="{3893B7F6-8858-4B69-B084-688382D4F3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0" name="TextBox 189">
          <a:extLst>
            <a:ext uri="{FF2B5EF4-FFF2-40B4-BE49-F238E27FC236}">
              <a16:creationId xmlns:a16="http://schemas.microsoft.com/office/drawing/2014/main" xmlns="" id="{C4C35C63-D4C5-4F17-AC63-C457C60AB25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1" name="TextBox 190">
          <a:extLst>
            <a:ext uri="{FF2B5EF4-FFF2-40B4-BE49-F238E27FC236}">
              <a16:creationId xmlns:a16="http://schemas.microsoft.com/office/drawing/2014/main" xmlns="" id="{E9204963-48E0-45D4-8208-2C59A111502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2" name="TextBox 191">
          <a:extLst>
            <a:ext uri="{FF2B5EF4-FFF2-40B4-BE49-F238E27FC236}">
              <a16:creationId xmlns:a16="http://schemas.microsoft.com/office/drawing/2014/main" xmlns="" id="{EC509C52-4F00-4997-AF30-E1F411F6904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3" name="TextBox 192">
          <a:extLst>
            <a:ext uri="{FF2B5EF4-FFF2-40B4-BE49-F238E27FC236}">
              <a16:creationId xmlns:a16="http://schemas.microsoft.com/office/drawing/2014/main" xmlns="" id="{A8642272-39F7-4601-BA07-0CB1A59E2DF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4" name="TextBox 193">
          <a:extLst>
            <a:ext uri="{FF2B5EF4-FFF2-40B4-BE49-F238E27FC236}">
              <a16:creationId xmlns:a16="http://schemas.microsoft.com/office/drawing/2014/main" xmlns="" id="{DB161DBC-B407-455C-971B-D46632A99D7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5" name="TextBox 194">
          <a:extLst>
            <a:ext uri="{FF2B5EF4-FFF2-40B4-BE49-F238E27FC236}">
              <a16:creationId xmlns:a16="http://schemas.microsoft.com/office/drawing/2014/main" xmlns="" id="{2AF8D91B-5224-4B35-8785-D8EC30B098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6" name="TextBox 195">
          <a:extLst>
            <a:ext uri="{FF2B5EF4-FFF2-40B4-BE49-F238E27FC236}">
              <a16:creationId xmlns:a16="http://schemas.microsoft.com/office/drawing/2014/main" xmlns="" id="{631757BF-11BF-4591-9091-CAA76CF3BB8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7" name="TextBox 196">
          <a:extLst>
            <a:ext uri="{FF2B5EF4-FFF2-40B4-BE49-F238E27FC236}">
              <a16:creationId xmlns:a16="http://schemas.microsoft.com/office/drawing/2014/main" xmlns="" id="{859B0C16-5DAC-45DF-86E4-26AD3D6A045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8" name="TextBox 197">
          <a:extLst>
            <a:ext uri="{FF2B5EF4-FFF2-40B4-BE49-F238E27FC236}">
              <a16:creationId xmlns:a16="http://schemas.microsoft.com/office/drawing/2014/main" xmlns="" id="{528A389F-7A3F-41A5-A35D-F68C321C16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99" name="TextBox 198">
          <a:extLst>
            <a:ext uri="{FF2B5EF4-FFF2-40B4-BE49-F238E27FC236}">
              <a16:creationId xmlns:a16="http://schemas.microsoft.com/office/drawing/2014/main" xmlns="" id="{F32E35CB-CEAA-4E15-B4E4-83B3B87509D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0" name="TextBox 199">
          <a:extLst>
            <a:ext uri="{FF2B5EF4-FFF2-40B4-BE49-F238E27FC236}">
              <a16:creationId xmlns:a16="http://schemas.microsoft.com/office/drawing/2014/main" xmlns="" id="{7030E9E3-C018-4B69-B561-70B542A24C2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1" name="TextBox 200">
          <a:extLst>
            <a:ext uri="{FF2B5EF4-FFF2-40B4-BE49-F238E27FC236}">
              <a16:creationId xmlns:a16="http://schemas.microsoft.com/office/drawing/2014/main" xmlns="" id="{B0EB13EE-406A-4C42-8855-2713BBC8EED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2" name="TextBox 201">
          <a:extLst>
            <a:ext uri="{FF2B5EF4-FFF2-40B4-BE49-F238E27FC236}">
              <a16:creationId xmlns:a16="http://schemas.microsoft.com/office/drawing/2014/main" xmlns="" id="{D5E4D78B-5B9F-4319-B47E-F88241802A0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3" name="TextBox 202">
          <a:extLst>
            <a:ext uri="{FF2B5EF4-FFF2-40B4-BE49-F238E27FC236}">
              <a16:creationId xmlns:a16="http://schemas.microsoft.com/office/drawing/2014/main" xmlns="" id="{17542FCF-4118-45EA-A1FF-EB79F79A7CF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4" name="TextBox 203">
          <a:extLst>
            <a:ext uri="{FF2B5EF4-FFF2-40B4-BE49-F238E27FC236}">
              <a16:creationId xmlns:a16="http://schemas.microsoft.com/office/drawing/2014/main" xmlns="" id="{F0A2146C-BEE3-4C22-BCB9-2679F366125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5" name="TextBox 204">
          <a:extLst>
            <a:ext uri="{FF2B5EF4-FFF2-40B4-BE49-F238E27FC236}">
              <a16:creationId xmlns:a16="http://schemas.microsoft.com/office/drawing/2014/main" xmlns="" id="{B6F47313-A9A0-4DC5-9F36-CAC14D9D1D2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6" name="TextBox 205">
          <a:extLst>
            <a:ext uri="{FF2B5EF4-FFF2-40B4-BE49-F238E27FC236}">
              <a16:creationId xmlns:a16="http://schemas.microsoft.com/office/drawing/2014/main" xmlns="" id="{F46E17C0-1682-41B5-AE4A-0AF1BB24A7D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7" name="TextBox 206">
          <a:extLst>
            <a:ext uri="{FF2B5EF4-FFF2-40B4-BE49-F238E27FC236}">
              <a16:creationId xmlns:a16="http://schemas.microsoft.com/office/drawing/2014/main" xmlns="" id="{E4F5C463-CCAF-41EE-9A9A-B26534B1D23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8" name="TextBox 207">
          <a:extLst>
            <a:ext uri="{FF2B5EF4-FFF2-40B4-BE49-F238E27FC236}">
              <a16:creationId xmlns:a16="http://schemas.microsoft.com/office/drawing/2014/main" xmlns="" id="{B2FC48AA-839A-4A8B-A878-2E893F51E56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09" name="TextBox 208">
          <a:extLst>
            <a:ext uri="{FF2B5EF4-FFF2-40B4-BE49-F238E27FC236}">
              <a16:creationId xmlns:a16="http://schemas.microsoft.com/office/drawing/2014/main" xmlns="" id="{457E7A0C-E257-46D8-97AB-548754BAF06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10" name="TextBox 209">
          <a:extLst>
            <a:ext uri="{FF2B5EF4-FFF2-40B4-BE49-F238E27FC236}">
              <a16:creationId xmlns:a16="http://schemas.microsoft.com/office/drawing/2014/main" xmlns="" id="{036EAF85-25E5-4E12-B6FB-2139FB1E6D4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11" name="TextBox 210">
          <a:extLst>
            <a:ext uri="{FF2B5EF4-FFF2-40B4-BE49-F238E27FC236}">
              <a16:creationId xmlns:a16="http://schemas.microsoft.com/office/drawing/2014/main" xmlns="" id="{E28CC3BD-C28A-4DC9-B548-E338EC89414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2" name="TextBox 211">
          <a:extLst>
            <a:ext uri="{FF2B5EF4-FFF2-40B4-BE49-F238E27FC236}">
              <a16:creationId xmlns:a16="http://schemas.microsoft.com/office/drawing/2014/main" xmlns="" id="{D25821E8-1109-4E91-B02F-55BAC7710055}"/>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3" name="TextBox 212">
          <a:extLst>
            <a:ext uri="{FF2B5EF4-FFF2-40B4-BE49-F238E27FC236}">
              <a16:creationId xmlns:a16="http://schemas.microsoft.com/office/drawing/2014/main" xmlns="" id="{AF101AD4-8D33-49A7-92F4-D16D7274C23A}"/>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4" name="TextBox 213">
          <a:extLst>
            <a:ext uri="{FF2B5EF4-FFF2-40B4-BE49-F238E27FC236}">
              <a16:creationId xmlns:a16="http://schemas.microsoft.com/office/drawing/2014/main" xmlns="" id="{9FEEEAEA-A40B-4D18-B89F-4CE717CBCED8}"/>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5" name="TextBox 214">
          <a:extLst>
            <a:ext uri="{FF2B5EF4-FFF2-40B4-BE49-F238E27FC236}">
              <a16:creationId xmlns:a16="http://schemas.microsoft.com/office/drawing/2014/main" xmlns="" id="{43F08419-3662-402C-A81E-1B537AC3709D}"/>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6" name="TextBox 215">
          <a:extLst>
            <a:ext uri="{FF2B5EF4-FFF2-40B4-BE49-F238E27FC236}">
              <a16:creationId xmlns:a16="http://schemas.microsoft.com/office/drawing/2014/main" xmlns="" id="{6E5AB99E-2222-4D48-A903-C50355214207}"/>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7" name="TextBox 216">
          <a:extLst>
            <a:ext uri="{FF2B5EF4-FFF2-40B4-BE49-F238E27FC236}">
              <a16:creationId xmlns:a16="http://schemas.microsoft.com/office/drawing/2014/main" xmlns="" id="{55FBF4C9-79B6-4A15-89D9-3D634B119BD2}"/>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8" name="TextBox 217">
          <a:extLst>
            <a:ext uri="{FF2B5EF4-FFF2-40B4-BE49-F238E27FC236}">
              <a16:creationId xmlns:a16="http://schemas.microsoft.com/office/drawing/2014/main" xmlns="" id="{E31BABE8-A815-43BD-A3B8-935059143362}"/>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19" name="TextBox 218">
          <a:extLst>
            <a:ext uri="{FF2B5EF4-FFF2-40B4-BE49-F238E27FC236}">
              <a16:creationId xmlns:a16="http://schemas.microsoft.com/office/drawing/2014/main" xmlns="" id="{9DC9C963-4C0A-44C9-8A82-766031BBC2E9}"/>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20" name="TextBox 219">
          <a:extLst>
            <a:ext uri="{FF2B5EF4-FFF2-40B4-BE49-F238E27FC236}">
              <a16:creationId xmlns:a16="http://schemas.microsoft.com/office/drawing/2014/main" xmlns="" id="{4851B89F-6264-4138-AFEE-C5FAD29E19FD}"/>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187</xdr:row>
      <xdr:rowOff>0</xdr:rowOff>
    </xdr:from>
    <xdr:ext cx="65" cy="172227"/>
    <xdr:sp macro="" textlink="">
      <xdr:nvSpPr>
        <xdr:cNvPr id="221" name="TextBox 220">
          <a:extLst>
            <a:ext uri="{FF2B5EF4-FFF2-40B4-BE49-F238E27FC236}">
              <a16:creationId xmlns:a16="http://schemas.microsoft.com/office/drawing/2014/main" xmlns="" id="{C02935E7-0C08-4603-BB3A-C6482839ECA6}"/>
            </a:ext>
          </a:extLst>
        </xdr:cNvPr>
        <xdr:cNvSpPr txBox="1"/>
      </xdr:nvSpPr>
      <xdr:spPr>
        <a:xfrm>
          <a:off x="7584576" y="76590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2" name="TextBox 221">
          <a:extLst>
            <a:ext uri="{FF2B5EF4-FFF2-40B4-BE49-F238E27FC236}">
              <a16:creationId xmlns:a16="http://schemas.microsoft.com/office/drawing/2014/main" xmlns="" id="{4E485DA5-AE63-48C7-910D-98FC1575F7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3" name="TextBox 222">
          <a:extLst>
            <a:ext uri="{FF2B5EF4-FFF2-40B4-BE49-F238E27FC236}">
              <a16:creationId xmlns:a16="http://schemas.microsoft.com/office/drawing/2014/main" xmlns="" id="{2A76696E-500C-42D9-8178-7D64E301E53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4" name="TextBox 223">
          <a:extLst>
            <a:ext uri="{FF2B5EF4-FFF2-40B4-BE49-F238E27FC236}">
              <a16:creationId xmlns:a16="http://schemas.microsoft.com/office/drawing/2014/main" xmlns="" id="{FAF1BA78-C0C4-4D30-8C55-7C0BC19B19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5" name="TextBox 224">
          <a:extLst>
            <a:ext uri="{FF2B5EF4-FFF2-40B4-BE49-F238E27FC236}">
              <a16:creationId xmlns:a16="http://schemas.microsoft.com/office/drawing/2014/main" xmlns="" id="{3F034DE1-DA8E-4755-BCF1-CC09AA4CC21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6" name="TextBox 225">
          <a:extLst>
            <a:ext uri="{FF2B5EF4-FFF2-40B4-BE49-F238E27FC236}">
              <a16:creationId xmlns:a16="http://schemas.microsoft.com/office/drawing/2014/main" xmlns="" id="{F81EF13A-3FF1-4D99-B1A4-40339773E15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7" name="TextBox 226">
          <a:extLst>
            <a:ext uri="{FF2B5EF4-FFF2-40B4-BE49-F238E27FC236}">
              <a16:creationId xmlns:a16="http://schemas.microsoft.com/office/drawing/2014/main" xmlns="" id="{EACF006D-FE2F-4221-A5F8-511FE3A8EBD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8" name="TextBox 227">
          <a:extLst>
            <a:ext uri="{FF2B5EF4-FFF2-40B4-BE49-F238E27FC236}">
              <a16:creationId xmlns:a16="http://schemas.microsoft.com/office/drawing/2014/main" xmlns="" id="{49C52FF2-B04D-4E4A-9D49-FA6E4C44812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29" name="TextBox 228">
          <a:extLst>
            <a:ext uri="{FF2B5EF4-FFF2-40B4-BE49-F238E27FC236}">
              <a16:creationId xmlns:a16="http://schemas.microsoft.com/office/drawing/2014/main" xmlns="" id="{EB9DF793-1519-48D5-9F17-AF33CC638CC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0" name="TextBox 229">
          <a:extLst>
            <a:ext uri="{FF2B5EF4-FFF2-40B4-BE49-F238E27FC236}">
              <a16:creationId xmlns:a16="http://schemas.microsoft.com/office/drawing/2014/main" xmlns="" id="{A042F022-E94F-44D1-B759-2D9B06336E5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1" name="TextBox 230">
          <a:extLst>
            <a:ext uri="{FF2B5EF4-FFF2-40B4-BE49-F238E27FC236}">
              <a16:creationId xmlns:a16="http://schemas.microsoft.com/office/drawing/2014/main" xmlns="" id="{5C025882-D1F9-4D18-9B19-4B1839A6203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2" name="TextBox 231">
          <a:extLst>
            <a:ext uri="{FF2B5EF4-FFF2-40B4-BE49-F238E27FC236}">
              <a16:creationId xmlns:a16="http://schemas.microsoft.com/office/drawing/2014/main" xmlns="" id="{535DC8FF-ED1C-40AB-A92F-6048DDE757D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3" name="TextBox 232">
          <a:extLst>
            <a:ext uri="{FF2B5EF4-FFF2-40B4-BE49-F238E27FC236}">
              <a16:creationId xmlns:a16="http://schemas.microsoft.com/office/drawing/2014/main" xmlns="" id="{68510CD0-215C-48AF-94FD-B87664E5CEE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4" name="TextBox 233">
          <a:extLst>
            <a:ext uri="{FF2B5EF4-FFF2-40B4-BE49-F238E27FC236}">
              <a16:creationId xmlns:a16="http://schemas.microsoft.com/office/drawing/2014/main" xmlns="" id="{9AA31AD6-4C89-46C2-B6DE-89E1B7EA918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5" name="TextBox 234">
          <a:extLst>
            <a:ext uri="{FF2B5EF4-FFF2-40B4-BE49-F238E27FC236}">
              <a16:creationId xmlns:a16="http://schemas.microsoft.com/office/drawing/2014/main" xmlns="" id="{E3F2BBAC-7E69-40DF-9A7E-706E82E7417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6" name="TextBox 235">
          <a:extLst>
            <a:ext uri="{FF2B5EF4-FFF2-40B4-BE49-F238E27FC236}">
              <a16:creationId xmlns:a16="http://schemas.microsoft.com/office/drawing/2014/main" xmlns="" id="{EFDF6141-4E4B-4EB2-8C59-809C76CEBE0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7" name="TextBox 236">
          <a:extLst>
            <a:ext uri="{FF2B5EF4-FFF2-40B4-BE49-F238E27FC236}">
              <a16:creationId xmlns:a16="http://schemas.microsoft.com/office/drawing/2014/main" xmlns="" id="{74EA02B7-D262-4024-B755-1FDA1F6CA48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8" name="TextBox 237">
          <a:extLst>
            <a:ext uri="{FF2B5EF4-FFF2-40B4-BE49-F238E27FC236}">
              <a16:creationId xmlns:a16="http://schemas.microsoft.com/office/drawing/2014/main" xmlns="" id="{F46C32D7-F2D6-4DD0-B096-1EB0F3C4783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39" name="TextBox 238">
          <a:extLst>
            <a:ext uri="{FF2B5EF4-FFF2-40B4-BE49-F238E27FC236}">
              <a16:creationId xmlns:a16="http://schemas.microsoft.com/office/drawing/2014/main" xmlns="" id="{B7A89CBC-A2ED-4421-9049-4DEBA4DF0C3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0" name="TextBox 239">
          <a:extLst>
            <a:ext uri="{FF2B5EF4-FFF2-40B4-BE49-F238E27FC236}">
              <a16:creationId xmlns:a16="http://schemas.microsoft.com/office/drawing/2014/main" xmlns="" id="{242DA269-48CA-4DF9-91AE-103F30F2558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1" name="TextBox 240">
          <a:extLst>
            <a:ext uri="{FF2B5EF4-FFF2-40B4-BE49-F238E27FC236}">
              <a16:creationId xmlns:a16="http://schemas.microsoft.com/office/drawing/2014/main" xmlns="" id="{EE57BB11-8324-49AC-B5FE-2ECB295D701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2" name="TextBox 241">
          <a:extLst>
            <a:ext uri="{FF2B5EF4-FFF2-40B4-BE49-F238E27FC236}">
              <a16:creationId xmlns:a16="http://schemas.microsoft.com/office/drawing/2014/main" xmlns="" id="{DCBFAE66-3548-4C11-8CEC-FA6A6F91671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3" name="TextBox 242">
          <a:extLst>
            <a:ext uri="{FF2B5EF4-FFF2-40B4-BE49-F238E27FC236}">
              <a16:creationId xmlns:a16="http://schemas.microsoft.com/office/drawing/2014/main" xmlns="" id="{7E3E0833-9873-43E5-9F65-1F5EB5188D9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4" name="TextBox 243">
          <a:extLst>
            <a:ext uri="{FF2B5EF4-FFF2-40B4-BE49-F238E27FC236}">
              <a16:creationId xmlns:a16="http://schemas.microsoft.com/office/drawing/2014/main" xmlns="" id="{DA0E9B84-ADA0-46EE-AB6C-A5C600B0BEC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5" name="TextBox 244">
          <a:extLst>
            <a:ext uri="{FF2B5EF4-FFF2-40B4-BE49-F238E27FC236}">
              <a16:creationId xmlns:a16="http://schemas.microsoft.com/office/drawing/2014/main" xmlns="" id="{7321D4E0-B048-4C6A-BB72-D27C4167B0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6" name="TextBox 245">
          <a:extLst>
            <a:ext uri="{FF2B5EF4-FFF2-40B4-BE49-F238E27FC236}">
              <a16:creationId xmlns:a16="http://schemas.microsoft.com/office/drawing/2014/main" xmlns="" id="{6A41B7D1-A1AB-4869-8534-1F26FDB50C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7" name="TextBox 246">
          <a:extLst>
            <a:ext uri="{FF2B5EF4-FFF2-40B4-BE49-F238E27FC236}">
              <a16:creationId xmlns:a16="http://schemas.microsoft.com/office/drawing/2014/main" xmlns="" id="{91B425A7-D63E-4DB5-B0B2-27852A25FCB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8" name="TextBox 247">
          <a:extLst>
            <a:ext uri="{FF2B5EF4-FFF2-40B4-BE49-F238E27FC236}">
              <a16:creationId xmlns:a16="http://schemas.microsoft.com/office/drawing/2014/main" xmlns="" id="{17936A8D-FA73-4E23-98B1-12136EEE98A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49" name="TextBox 248">
          <a:extLst>
            <a:ext uri="{FF2B5EF4-FFF2-40B4-BE49-F238E27FC236}">
              <a16:creationId xmlns:a16="http://schemas.microsoft.com/office/drawing/2014/main" xmlns="" id="{16BD4163-A231-4CF1-AA06-679033A2FB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0" name="TextBox 249">
          <a:extLst>
            <a:ext uri="{FF2B5EF4-FFF2-40B4-BE49-F238E27FC236}">
              <a16:creationId xmlns:a16="http://schemas.microsoft.com/office/drawing/2014/main" xmlns="" id="{196FFBC5-3BC5-4F58-96D4-8D6DFD4F83D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1" name="TextBox 250">
          <a:extLst>
            <a:ext uri="{FF2B5EF4-FFF2-40B4-BE49-F238E27FC236}">
              <a16:creationId xmlns:a16="http://schemas.microsoft.com/office/drawing/2014/main" xmlns="" id="{D400EA76-C952-4BFD-B22F-A18900C20CE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2" name="TextBox 251">
          <a:extLst>
            <a:ext uri="{FF2B5EF4-FFF2-40B4-BE49-F238E27FC236}">
              <a16:creationId xmlns:a16="http://schemas.microsoft.com/office/drawing/2014/main" xmlns="" id="{F4515B2C-A75F-43CF-B17C-3870170EAA6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3" name="TextBox 252">
          <a:extLst>
            <a:ext uri="{FF2B5EF4-FFF2-40B4-BE49-F238E27FC236}">
              <a16:creationId xmlns:a16="http://schemas.microsoft.com/office/drawing/2014/main" xmlns="" id="{C56A4F46-0972-4BB8-8E37-8841A0B8824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4" name="TextBox 253">
          <a:extLst>
            <a:ext uri="{FF2B5EF4-FFF2-40B4-BE49-F238E27FC236}">
              <a16:creationId xmlns:a16="http://schemas.microsoft.com/office/drawing/2014/main" xmlns="" id="{74DE3A7E-565E-4678-BD4E-03413850113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5" name="TextBox 254">
          <a:extLst>
            <a:ext uri="{FF2B5EF4-FFF2-40B4-BE49-F238E27FC236}">
              <a16:creationId xmlns:a16="http://schemas.microsoft.com/office/drawing/2014/main" xmlns="" id="{5429B745-D825-467D-82BE-CB42C8BE54A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6" name="TextBox 255">
          <a:extLst>
            <a:ext uri="{FF2B5EF4-FFF2-40B4-BE49-F238E27FC236}">
              <a16:creationId xmlns:a16="http://schemas.microsoft.com/office/drawing/2014/main" xmlns="" id="{AAB82AD2-2DC1-4359-A00F-F2EFEBB794A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7" name="TextBox 256">
          <a:extLst>
            <a:ext uri="{FF2B5EF4-FFF2-40B4-BE49-F238E27FC236}">
              <a16:creationId xmlns:a16="http://schemas.microsoft.com/office/drawing/2014/main" xmlns="" id="{BD32CE89-30D9-4115-99DE-A85F39529EB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8" name="TextBox 257">
          <a:extLst>
            <a:ext uri="{FF2B5EF4-FFF2-40B4-BE49-F238E27FC236}">
              <a16:creationId xmlns:a16="http://schemas.microsoft.com/office/drawing/2014/main" xmlns="" id="{FC5C7829-189B-4EEC-A726-2C0FCF84E28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59" name="TextBox 258">
          <a:extLst>
            <a:ext uri="{FF2B5EF4-FFF2-40B4-BE49-F238E27FC236}">
              <a16:creationId xmlns:a16="http://schemas.microsoft.com/office/drawing/2014/main" xmlns="" id="{A57DFB87-CB35-4CF5-AFF9-DC446FA98C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0" name="TextBox 259">
          <a:extLst>
            <a:ext uri="{FF2B5EF4-FFF2-40B4-BE49-F238E27FC236}">
              <a16:creationId xmlns:a16="http://schemas.microsoft.com/office/drawing/2014/main" xmlns="" id="{D43DB886-AD99-4E86-BD5E-64B9A4FE58F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1" name="TextBox 260">
          <a:extLst>
            <a:ext uri="{FF2B5EF4-FFF2-40B4-BE49-F238E27FC236}">
              <a16:creationId xmlns:a16="http://schemas.microsoft.com/office/drawing/2014/main" xmlns="" id="{C9F73806-DED5-4F2D-BE33-0B9E088903A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2" name="TextBox 261">
          <a:extLst>
            <a:ext uri="{FF2B5EF4-FFF2-40B4-BE49-F238E27FC236}">
              <a16:creationId xmlns:a16="http://schemas.microsoft.com/office/drawing/2014/main" xmlns="" id="{F5DB32EF-5EC7-4666-9C25-C548870A047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3" name="TextBox 262">
          <a:extLst>
            <a:ext uri="{FF2B5EF4-FFF2-40B4-BE49-F238E27FC236}">
              <a16:creationId xmlns:a16="http://schemas.microsoft.com/office/drawing/2014/main" xmlns="" id="{B0ED06B1-CAB7-4C2F-A3B5-B21E8C41F87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4" name="TextBox 263">
          <a:extLst>
            <a:ext uri="{FF2B5EF4-FFF2-40B4-BE49-F238E27FC236}">
              <a16:creationId xmlns:a16="http://schemas.microsoft.com/office/drawing/2014/main" xmlns="" id="{5C997EAD-C09A-49AC-B662-A50F9B4CE08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5" name="TextBox 264">
          <a:extLst>
            <a:ext uri="{FF2B5EF4-FFF2-40B4-BE49-F238E27FC236}">
              <a16:creationId xmlns:a16="http://schemas.microsoft.com/office/drawing/2014/main" xmlns="" id="{F8131F44-64B2-40ED-B0BE-13110B4A1B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6" name="TextBox 265">
          <a:extLst>
            <a:ext uri="{FF2B5EF4-FFF2-40B4-BE49-F238E27FC236}">
              <a16:creationId xmlns:a16="http://schemas.microsoft.com/office/drawing/2014/main" xmlns="" id="{F89A22B1-E2A0-42AD-9772-05534377A18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7" name="TextBox 266">
          <a:extLst>
            <a:ext uri="{FF2B5EF4-FFF2-40B4-BE49-F238E27FC236}">
              <a16:creationId xmlns:a16="http://schemas.microsoft.com/office/drawing/2014/main" xmlns="" id="{150D6244-1068-45E7-B455-C5C820ABDAF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8" name="TextBox 267">
          <a:extLst>
            <a:ext uri="{FF2B5EF4-FFF2-40B4-BE49-F238E27FC236}">
              <a16:creationId xmlns:a16="http://schemas.microsoft.com/office/drawing/2014/main" xmlns="" id="{F20D0410-A118-4A7B-8888-D11489ABEF4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69" name="TextBox 268">
          <a:extLst>
            <a:ext uri="{FF2B5EF4-FFF2-40B4-BE49-F238E27FC236}">
              <a16:creationId xmlns:a16="http://schemas.microsoft.com/office/drawing/2014/main" xmlns="" id="{8C2AD377-ABAB-48E2-9834-C1AE2144A17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0" name="TextBox 269">
          <a:extLst>
            <a:ext uri="{FF2B5EF4-FFF2-40B4-BE49-F238E27FC236}">
              <a16:creationId xmlns:a16="http://schemas.microsoft.com/office/drawing/2014/main" xmlns="" id="{D5E08EA5-49BD-450F-87F7-3290FD45440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1" name="TextBox 270">
          <a:extLst>
            <a:ext uri="{FF2B5EF4-FFF2-40B4-BE49-F238E27FC236}">
              <a16:creationId xmlns:a16="http://schemas.microsoft.com/office/drawing/2014/main" xmlns="" id="{333216F8-8F2B-46F3-82E8-8F3C5DC7AFC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2" name="TextBox 271">
          <a:extLst>
            <a:ext uri="{FF2B5EF4-FFF2-40B4-BE49-F238E27FC236}">
              <a16:creationId xmlns:a16="http://schemas.microsoft.com/office/drawing/2014/main" xmlns="" id="{8CD9894A-5FA5-4F55-A99F-51FB85CDE66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3" name="TextBox 272">
          <a:extLst>
            <a:ext uri="{FF2B5EF4-FFF2-40B4-BE49-F238E27FC236}">
              <a16:creationId xmlns:a16="http://schemas.microsoft.com/office/drawing/2014/main" xmlns="" id="{3D8E1077-A453-46B5-8DA8-50A822E18B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4" name="TextBox 273">
          <a:extLst>
            <a:ext uri="{FF2B5EF4-FFF2-40B4-BE49-F238E27FC236}">
              <a16:creationId xmlns:a16="http://schemas.microsoft.com/office/drawing/2014/main" xmlns="" id="{48571A90-16A7-48B3-B4B7-F0AE7E3C82B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5" name="TextBox 274">
          <a:extLst>
            <a:ext uri="{FF2B5EF4-FFF2-40B4-BE49-F238E27FC236}">
              <a16:creationId xmlns:a16="http://schemas.microsoft.com/office/drawing/2014/main" xmlns="" id="{E2FAFEC5-F9D6-4E37-AB20-4D8415DCB60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6" name="TextBox 275">
          <a:extLst>
            <a:ext uri="{FF2B5EF4-FFF2-40B4-BE49-F238E27FC236}">
              <a16:creationId xmlns:a16="http://schemas.microsoft.com/office/drawing/2014/main" xmlns="" id="{374A1278-F843-4797-A720-490784F5C4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7" name="TextBox 276">
          <a:extLst>
            <a:ext uri="{FF2B5EF4-FFF2-40B4-BE49-F238E27FC236}">
              <a16:creationId xmlns:a16="http://schemas.microsoft.com/office/drawing/2014/main" xmlns="" id="{8E8AD121-4811-4454-B86D-4DB58BCDF8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8" name="TextBox 277">
          <a:extLst>
            <a:ext uri="{FF2B5EF4-FFF2-40B4-BE49-F238E27FC236}">
              <a16:creationId xmlns:a16="http://schemas.microsoft.com/office/drawing/2014/main" xmlns="" id="{48D0E77E-12E4-4B70-AC3A-83F59705D45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79" name="TextBox 278">
          <a:extLst>
            <a:ext uri="{FF2B5EF4-FFF2-40B4-BE49-F238E27FC236}">
              <a16:creationId xmlns:a16="http://schemas.microsoft.com/office/drawing/2014/main" xmlns="" id="{1B452E78-5666-421B-9012-008713C7971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0" name="TextBox 279">
          <a:extLst>
            <a:ext uri="{FF2B5EF4-FFF2-40B4-BE49-F238E27FC236}">
              <a16:creationId xmlns:a16="http://schemas.microsoft.com/office/drawing/2014/main" xmlns="" id="{FBB427B5-5B62-4F19-97B4-FB52987ED8E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1" name="TextBox 280">
          <a:extLst>
            <a:ext uri="{FF2B5EF4-FFF2-40B4-BE49-F238E27FC236}">
              <a16:creationId xmlns:a16="http://schemas.microsoft.com/office/drawing/2014/main" xmlns="" id="{BF6E1507-9F94-4147-93DA-66EE2355208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2" name="TextBox 281">
          <a:extLst>
            <a:ext uri="{FF2B5EF4-FFF2-40B4-BE49-F238E27FC236}">
              <a16:creationId xmlns:a16="http://schemas.microsoft.com/office/drawing/2014/main" xmlns="" id="{DE763AE9-63A4-4740-BD1A-186F3D29120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3" name="TextBox 282">
          <a:extLst>
            <a:ext uri="{FF2B5EF4-FFF2-40B4-BE49-F238E27FC236}">
              <a16:creationId xmlns:a16="http://schemas.microsoft.com/office/drawing/2014/main" xmlns="" id="{555BA15F-320B-42E6-99AD-7D24E97F574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4" name="TextBox 283">
          <a:extLst>
            <a:ext uri="{FF2B5EF4-FFF2-40B4-BE49-F238E27FC236}">
              <a16:creationId xmlns:a16="http://schemas.microsoft.com/office/drawing/2014/main" xmlns="" id="{F76E07C5-AC79-44A9-B94B-9B55222D5FE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5" name="TextBox 284">
          <a:extLst>
            <a:ext uri="{FF2B5EF4-FFF2-40B4-BE49-F238E27FC236}">
              <a16:creationId xmlns:a16="http://schemas.microsoft.com/office/drawing/2014/main" xmlns="" id="{EA2BCC3A-079E-45EC-8795-76C53CFC8C9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6" name="TextBox 285">
          <a:extLst>
            <a:ext uri="{FF2B5EF4-FFF2-40B4-BE49-F238E27FC236}">
              <a16:creationId xmlns:a16="http://schemas.microsoft.com/office/drawing/2014/main" xmlns="" id="{C14ABFF5-C6E4-4D75-96DB-50590199161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7" name="TextBox 286">
          <a:extLst>
            <a:ext uri="{FF2B5EF4-FFF2-40B4-BE49-F238E27FC236}">
              <a16:creationId xmlns:a16="http://schemas.microsoft.com/office/drawing/2014/main" xmlns="" id="{B6519DBB-316D-4D08-8F65-667CBC01531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8" name="TextBox 287">
          <a:extLst>
            <a:ext uri="{FF2B5EF4-FFF2-40B4-BE49-F238E27FC236}">
              <a16:creationId xmlns:a16="http://schemas.microsoft.com/office/drawing/2014/main" xmlns="" id="{9D182DDD-3D41-441A-94F4-A401FB5D61A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89" name="TextBox 288">
          <a:extLst>
            <a:ext uri="{FF2B5EF4-FFF2-40B4-BE49-F238E27FC236}">
              <a16:creationId xmlns:a16="http://schemas.microsoft.com/office/drawing/2014/main" xmlns="" id="{FCE7C14B-8B61-4EEC-92A4-831E076641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0" name="TextBox 289">
          <a:extLst>
            <a:ext uri="{FF2B5EF4-FFF2-40B4-BE49-F238E27FC236}">
              <a16:creationId xmlns:a16="http://schemas.microsoft.com/office/drawing/2014/main" xmlns="" id="{3E5B585D-3EC5-4595-9DCF-12CD9FE7122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1" name="TextBox 290">
          <a:extLst>
            <a:ext uri="{FF2B5EF4-FFF2-40B4-BE49-F238E27FC236}">
              <a16:creationId xmlns:a16="http://schemas.microsoft.com/office/drawing/2014/main" xmlns="" id="{B2FD0DD2-2AD7-4B7F-976A-9D1458F3B3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2" name="TextBox 291">
          <a:extLst>
            <a:ext uri="{FF2B5EF4-FFF2-40B4-BE49-F238E27FC236}">
              <a16:creationId xmlns:a16="http://schemas.microsoft.com/office/drawing/2014/main" xmlns="" id="{8AD4E0F4-9A19-41FD-ADF8-AF0024722E2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3" name="TextBox 292">
          <a:extLst>
            <a:ext uri="{FF2B5EF4-FFF2-40B4-BE49-F238E27FC236}">
              <a16:creationId xmlns:a16="http://schemas.microsoft.com/office/drawing/2014/main" xmlns="" id="{885D77EA-6E3A-4D30-9E3D-383FFDEA07C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4" name="TextBox 293">
          <a:extLst>
            <a:ext uri="{FF2B5EF4-FFF2-40B4-BE49-F238E27FC236}">
              <a16:creationId xmlns:a16="http://schemas.microsoft.com/office/drawing/2014/main" xmlns="" id="{5BA1A498-07C7-450D-81F4-3733A2442A5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5" name="TextBox 294">
          <a:extLst>
            <a:ext uri="{FF2B5EF4-FFF2-40B4-BE49-F238E27FC236}">
              <a16:creationId xmlns:a16="http://schemas.microsoft.com/office/drawing/2014/main" xmlns="" id="{19F27189-3C65-4E38-B022-B2767B0C341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6" name="TextBox 295">
          <a:extLst>
            <a:ext uri="{FF2B5EF4-FFF2-40B4-BE49-F238E27FC236}">
              <a16:creationId xmlns:a16="http://schemas.microsoft.com/office/drawing/2014/main" xmlns="" id="{EFED5596-1729-4226-A475-15D921C464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7" name="TextBox 296">
          <a:extLst>
            <a:ext uri="{FF2B5EF4-FFF2-40B4-BE49-F238E27FC236}">
              <a16:creationId xmlns:a16="http://schemas.microsoft.com/office/drawing/2014/main" xmlns="" id="{0498795C-050A-44CB-88E6-053C8D3E108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8" name="TextBox 297">
          <a:extLst>
            <a:ext uri="{FF2B5EF4-FFF2-40B4-BE49-F238E27FC236}">
              <a16:creationId xmlns:a16="http://schemas.microsoft.com/office/drawing/2014/main" xmlns="" id="{C66A7B52-91B8-469A-8375-D7DD1B0EF9E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299" name="TextBox 298">
          <a:extLst>
            <a:ext uri="{FF2B5EF4-FFF2-40B4-BE49-F238E27FC236}">
              <a16:creationId xmlns:a16="http://schemas.microsoft.com/office/drawing/2014/main" xmlns="" id="{09888E5C-73C1-4059-960E-16B041F907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0" name="TextBox 299">
          <a:extLst>
            <a:ext uri="{FF2B5EF4-FFF2-40B4-BE49-F238E27FC236}">
              <a16:creationId xmlns:a16="http://schemas.microsoft.com/office/drawing/2014/main" xmlns="" id="{2470588E-D63D-4569-89AC-C8F27F258F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1" name="TextBox 300">
          <a:extLst>
            <a:ext uri="{FF2B5EF4-FFF2-40B4-BE49-F238E27FC236}">
              <a16:creationId xmlns:a16="http://schemas.microsoft.com/office/drawing/2014/main" xmlns="" id="{6091F29C-F96D-4383-A5B9-0459B5B2D83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2" name="TextBox 301">
          <a:extLst>
            <a:ext uri="{FF2B5EF4-FFF2-40B4-BE49-F238E27FC236}">
              <a16:creationId xmlns:a16="http://schemas.microsoft.com/office/drawing/2014/main" xmlns="" id="{90641D93-F48D-4DFD-9B03-BB9167040EB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3" name="TextBox 302">
          <a:extLst>
            <a:ext uri="{FF2B5EF4-FFF2-40B4-BE49-F238E27FC236}">
              <a16:creationId xmlns:a16="http://schemas.microsoft.com/office/drawing/2014/main" xmlns="" id="{9D891DD0-F819-4B8C-91BF-CD5EEB994CC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4" name="TextBox 303">
          <a:extLst>
            <a:ext uri="{FF2B5EF4-FFF2-40B4-BE49-F238E27FC236}">
              <a16:creationId xmlns:a16="http://schemas.microsoft.com/office/drawing/2014/main" xmlns="" id="{BC41E76D-1584-47CC-B518-4F07ECC5518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5" name="TextBox 304">
          <a:extLst>
            <a:ext uri="{FF2B5EF4-FFF2-40B4-BE49-F238E27FC236}">
              <a16:creationId xmlns:a16="http://schemas.microsoft.com/office/drawing/2014/main" xmlns="" id="{22335B5A-A346-477E-BE0B-0370747FC7E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6" name="TextBox 305">
          <a:extLst>
            <a:ext uri="{FF2B5EF4-FFF2-40B4-BE49-F238E27FC236}">
              <a16:creationId xmlns:a16="http://schemas.microsoft.com/office/drawing/2014/main" xmlns="" id="{D45AD4C3-F377-483F-B8B6-6E6540AB142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7" name="TextBox 306">
          <a:extLst>
            <a:ext uri="{FF2B5EF4-FFF2-40B4-BE49-F238E27FC236}">
              <a16:creationId xmlns:a16="http://schemas.microsoft.com/office/drawing/2014/main" xmlns="" id="{5C6927ED-0474-4ECC-B154-A873A834260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8" name="TextBox 307">
          <a:extLst>
            <a:ext uri="{FF2B5EF4-FFF2-40B4-BE49-F238E27FC236}">
              <a16:creationId xmlns:a16="http://schemas.microsoft.com/office/drawing/2014/main" xmlns="" id="{E15C3A40-CF4B-4D49-A088-E0CE565307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09" name="TextBox 308">
          <a:extLst>
            <a:ext uri="{FF2B5EF4-FFF2-40B4-BE49-F238E27FC236}">
              <a16:creationId xmlns:a16="http://schemas.microsoft.com/office/drawing/2014/main" xmlns="" id="{EABC17F8-BA55-4FC7-9548-F5D9FD927E6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0" name="TextBox 309">
          <a:extLst>
            <a:ext uri="{FF2B5EF4-FFF2-40B4-BE49-F238E27FC236}">
              <a16:creationId xmlns:a16="http://schemas.microsoft.com/office/drawing/2014/main" xmlns="" id="{1DB8E8DF-23BF-4150-9675-6C48F0C38A1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1" name="TextBox 310">
          <a:extLst>
            <a:ext uri="{FF2B5EF4-FFF2-40B4-BE49-F238E27FC236}">
              <a16:creationId xmlns:a16="http://schemas.microsoft.com/office/drawing/2014/main" xmlns="" id="{F8611C10-7D10-49AF-92DC-F275DE71CD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2" name="TextBox 311">
          <a:extLst>
            <a:ext uri="{FF2B5EF4-FFF2-40B4-BE49-F238E27FC236}">
              <a16:creationId xmlns:a16="http://schemas.microsoft.com/office/drawing/2014/main" xmlns="" id="{4D2318DA-ECF7-4157-B279-72293C4A1D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3" name="TextBox 312">
          <a:extLst>
            <a:ext uri="{FF2B5EF4-FFF2-40B4-BE49-F238E27FC236}">
              <a16:creationId xmlns:a16="http://schemas.microsoft.com/office/drawing/2014/main" xmlns="" id="{CE014645-3ACD-4C83-AF06-5BAEB597680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4" name="TextBox 313">
          <a:extLst>
            <a:ext uri="{FF2B5EF4-FFF2-40B4-BE49-F238E27FC236}">
              <a16:creationId xmlns:a16="http://schemas.microsoft.com/office/drawing/2014/main" xmlns="" id="{DA0FE1F6-B15A-4D22-8D17-BE7E92C1705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5" name="TextBox 314">
          <a:extLst>
            <a:ext uri="{FF2B5EF4-FFF2-40B4-BE49-F238E27FC236}">
              <a16:creationId xmlns:a16="http://schemas.microsoft.com/office/drawing/2014/main" xmlns="" id="{5680BA6E-754B-40A7-B38A-215889D1E64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6" name="TextBox 315">
          <a:extLst>
            <a:ext uri="{FF2B5EF4-FFF2-40B4-BE49-F238E27FC236}">
              <a16:creationId xmlns:a16="http://schemas.microsoft.com/office/drawing/2014/main" xmlns="" id="{8B354126-2EFA-4AAA-B9BD-119C273E3CF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7" name="TextBox 316">
          <a:extLst>
            <a:ext uri="{FF2B5EF4-FFF2-40B4-BE49-F238E27FC236}">
              <a16:creationId xmlns:a16="http://schemas.microsoft.com/office/drawing/2014/main" xmlns="" id="{31F618A4-F52B-4676-A991-B09C1FD196C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8" name="TextBox 317">
          <a:extLst>
            <a:ext uri="{FF2B5EF4-FFF2-40B4-BE49-F238E27FC236}">
              <a16:creationId xmlns:a16="http://schemas.microsoft.com/office/drawing/2014/main" xmlns="" id="{1F889146-BD0E-4286-955B-36BDE09339B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19" name="TextBox 318">
          <a:extLst>
            <a:ext uri="{FF2B5EF4-FFF2-40B4-BE49-F238E27FC236}">
              <a16:creationId xmlns:a16="http://schemas.microsoft.com/office/drawing/2014/main" xmlns="" id="{60EBDB0A-1534-4F3F-8098-8602883DEAE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0" name="TextBox 319">
          <a:extLst>
            <a:ext uri="{FF2B5EF4-FFF2-40B4-BE49-F238E27FC236}">
              <a16:creationId xmlns:a16="http://schemas.microsoft.com/office/drawing/2014/main" xmlns="" id="{A6025D68-63FE-49DB-A8A0-1449A3D41D4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1" name="TextBox 320">
          <a:extLst>
            <a:ext uri="{FF2B5EF4-FFF2-40B4-BE49-F238E27FC236}">
              <a16:creationId xmlns:a16="http://schemas.microsoft.com/office/drawing/2014/main" xmlns="" id="{3C6B7B5D-C5AC-4579-8CB7-913EA919129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2" name="TextBox 321">
          <a:extLst>
            <a:ext uri="{FF2B5EF4-FFF2-40B4-BE49-F238E27FC236}">
              <a16:creationId xmlns:a16="http://schemas.microsoft.com/office/drawing/2014/main" xmlns="" id="{BD5D2CE1-F5B6-4FEA-B68A-D1819BC55A6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3" name="TextBox 322">
          <a:extLst>
            <a:ext uri="{FF2B5EF4-FFF2-40B4-BE49-F238E27FC236}">
              <a16:creationId xmlns:a16="http://schemas.microsoft.com/office/drawing/2014/main" xmlns="" id="{F256B79F-1A49-47A1-B6A3-D6730701788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4" name="TextBox 323">
          <a:extLst>
            <a:ext uri="{FF2B5EF4-FFF2-40B4-BE49-F238E27FC236}">
              <a16:creationId xmlns:a16="http://schemas.microsoft.com/office/drawing/2014/main" xmlns="" id="{747219BC-D788-4054-A32C-8B6BCCA6A32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5" name="TextBox 324">
          <a:extLst>
            <a:ext uri="{FF2B5EF4-FFF2-40B4-BE49-F238E27FC236}">
              <a16:creationId xmlns:a16="http://schemas.microsoft.com/office/drawing/2014/main" xmlns="" id="{042C7B0A-F81F-49E6-98F4-241F8D7CF50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6" name="TextBox 325">
          <a:extLst>
            <a:ext uri="{FF2B5EF4-FFF2-40B4-BE49-F238E27FC236}">
              <a16:creationId xmlns:a16="http://schemas.microsoft.com/office/drawing/2014/main" xmlns="" id="{941BF705-3123-4391-A0B8-0C4CC9D6564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7" name="TextBox 326">
          <a:extLst>
            <a:ext uri="{FF2B5EF4-FFF2-40B4-BE49-F238E27FC236}">
              <a16:creationId xmlns:a16="http://schemas.microsoft.com/office/drawing/2014/main" xmlns="" id="{61AD9C41-8CF5-4683-B0FA-D59FF1279B0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8" name="TextBox 327">
          <a:extLst>
            <a:ext uri="{FF2B5EF4-FFF2-40B4-BE49-F238E27FC236}">
              <a16:creationId xmlns:a16="http://schemas.microsoft.com/office/drawing/2014/main" xmlns="" id="{94458FD8-0BDE-4623-B79C-B287C36F253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29" name="TextBox 328">
          <a:extLst>
            <a:ext uri="{FF2B5EF4-FFF2-40B4-BE49-F238E27FC236}">
              <a16:creationId xmlns:a16="http://schemas.microsoft.com/office/drawing/2014/main" xmlns="" id="{C2D74E6B-CCE2-4534-BA51-F066E987843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0" name="TextBox 329">
          <a:extLst>
            <a:ext uri="{FF2B5EF4-FFF2-40B4-BE49-F238E27FC236}">
              <a16:creationId xmlns:a16="http://schemas.microsoft.com/office/drawing/2014/main" xmlns="" id="{9F121AFB-C373-4BCD-9464-834624E4CA5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1" name="TextBox 330">
          <a:extLst>
            <a:ext uri="{FF2B5EF4-FFF2-40B4-BE49-F238E27FC236}">
              <a16:creationId xmlns:a16="http://schemas.microsoft.com/office/drawing/2014/main" xmlns="" id="{36991E31-BEDC-42F3-BA4B-324E836B21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2" name="TextBox 331">
          <a:extLst>
            <a:ext uri="{FF2B5EF4-FFF2-40B4-BE49-F238E27FC236}">
              <a16:creationId xmlns:a16="http://schemas.microsoft.com/office/drawing/2014/main" xmlns="" id="{37EB7DBB-8473-49EB-BFF8-3FCE972FAA6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3" name="TextBox 332">
          <a:extLst>
            <a:ext uri="{FF2B5EF4-FFF2-40B4-BE49-F238E27FC236}">
              <a16:creationId xmlns:a16="http://schemas.microsoft.com/office/drawing/2014/main" xmlns="" id="{23B55838-B22A-44DB-A346-7E612DE4B97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4" name="TextBox 333">
          <a:extLst>
            <a:ext uri="{FF2B5EF4-FFF2-40B4-BE49-F238E27FC236}">
              <a16:creationId xmlns:a16="http://schemas.microsoft.com/office/drawing/2014/main" xmlns="" id="{75AC1DE6-09C1-4728-BE1F-35624FC5C2E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5" name="TextBox 334">
          <a:extLst>
            <a:ext uri="{FF2B5EF4-FFF2-40B4-BE49-F238E27FC236}">
              <a16:creationId xmlns:a16="http://schemas.microsoft.com/office/drawing/2014/main" xmlns="" id="{1B8263AF-D0DF-4034-B545-67CED15833A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6" name="TextBox 335">
          <a:extLst>
            <a:ext uri="{FF2B5EF4-FFF2-40B4-BE49-F238E27FC236}">
              <a16:creationId xmlns:a16="http://schemas.microsoft.com/office/drawing/2014/main" xmlns="" id="{8033E894-74EC-4847-937A-640E989E9D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7" name="TextBox 336">
          <a:extLst>
            <a:ext uri="{FF2B5EF4-FFF2-40B4-BE49-F238E27FC236}">
              <a16:creationId xmlns:a16="http://schemas.microsoft.com/office/drawing/2014/main" xmlns="" id="{953601FE-BDFB-471E-9A19-E797A926575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8" name="TextBox 337">
          <a:extLst>
            <a:ext uri="{FF2B5EF4-FFF2-40B4-BE49-F238E27FC236}">
              <a16:creationId xmlns:a16="http://schemas.microsoft.com/office/drawing/2014/main" xmlns="" id="{15FC79D1-9B6C-4C4B-B24E-9B23F0A5FEE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39" name="TextBox 338">
          <a:extLst>
            <a:ext uri="{FF2B5EF4-FFF2-40B4-BE49-F238E27FC236}">
              <a16:creationId xmlns:a16="http://schemas.microsoft.com/office/drawing/2014/main" xmlns="" id="{CA084680-866E-4C7B-95AF-58B88F44D86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0" name="TextBox 339">
          <a:extLst>
            <a:ext uri="{FF2B5EF4-FFF2-40B4-BE49-F238E27FC236}">
              <a16:creationId xmlns:a16="http://schemas.microsoft.com/office/drawing/2014/main" xmlns="" id="{F7AAD247-8042-4602-A447-25921040E3A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1" name="TextBox 340">
          <a:extLst>
            <a:ext uri="{FF2B5EF4-FFF2-40B4-BE49-F238E27FC236}">
              <a16:creationId xmlns:a16="http://schemas.microsoft.com/office/drawing/2014/main" xmlns="" id="{D01EACBD-8691-408D-AC48-E4E41E93A56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2" name="TextBox 341">
          <a:extLst>
            <a:ext uri="{FF2B5EF4-FFF2-40B4-BE49-F238E27FC236}">
              <a16:creationId xmlns:a16="http://schemas.microsoft.com/office/drawing/2014/main" xmlns="" id="{9E30C850-0702-4843-B79D-AE2BF44B48C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3" name="TextBox 342">
          <a:extLst>
            <a:ext uri="{FF2B5EF4-FFF2-40B4-BE49-F238E27FC236}">
              <a16:creationId xmlns:a16="http://schemas.microsoft.com/office/drawing/2014/main" xmlns="" id="{C3A5D6F3-D78C-4B2E-9873-CCAA225BF1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4" name="TextBox 343">
          <a:extLst>
            <a:ext uri="{FF2B5EF4-FFF2-40B4-BE49-F238E27FC236}">
              <a16:creationId xmlns:a16="http://schemas.microsoft.com/office/drawing/2014/main" xmlns="" id="{DF28C9BB-9D71-4A7D-875A-A20BD4B4A8C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5" name="TextBox 344">
          <a:extLst>
            <a:ext uri="{FF2B5EF4-FFF2-40B4-BE49-F238E27FC236}">
              <a16:creationId xmlns:a16="http://schemas.microsoft.com/office/drawing/2014/main" xmlns="" id="{4E79A77D-3296-4F47-95ED-FFEC3BCF93F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6" name="TextBox 345">
          <a:extLst>
            <a:ext uri="{FF2B5EF4-FFF2-40B4-BE49-F238E27FC236}">
              <a16:creationId xmlns:a16="http://schemas.microsoft.com/office/drawing/2014/main" xmlns="" id="{5A3E051D-D16D-4E62-A22D-8B81CE30959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7" name="TextBox 346">
          <a:extLst>
            <a:ext uri="{FF2B5EF4-FFF2-40B4-BE49-F238E27FC236}">
              <a16:creationId xmlns:a16="http://schemas.microsoft.com/office/drawing/2014/main" xmlns="" id="{A0C37308-B494-4791-B8A2-0BC30D05AC6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8" name="TextBox 347">
          <a:extLst>
            <a:ext uri="{FF2B5EF4-FFF2-40B4-BE49-F238E27FC236}">
              <a16:creationId xmlns:a16="http://schemas.microsoft.com/office/drawing/2014/main" xmlns="" id="{0D9ECC43-FFEE-4F16-9FCB-A7658F320C4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49" name="TextBox 348">
          <a:extLst>
            <a:ext uri="{FF2B5EF4-FFF2-40B4-BE49-F238E27FC236}">
              <a16:creationId xmlns:a16="http://schemas.microsoft.com/office/drawing/2014/main" xmlns="" id="{62355EC3-9AB8-4E36-9A5F-9557B651ADA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0" name="TextBox 349">
          <a:extLst>
            <a:ext uri="{FF2B5EF4-FFF2-40B4-BE49-F238E27FC236}">
              <a16:creationId xmlns:a16="http://schemas.microsoft.com/office/drawing/2014/main" xmlns="" id="{78342208-A100-4E44-9136-CE8DC8D741D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1" name="TextBox 350">
          <a:extLst>
            <a:ext uri="{FF2B5EF4-FFF2-40B4-BE49-F238E27FC236}">
              <a16:creationId xmlns:a16="http://schemas.microsoft.com/office/drawing/2014/main" xmlns="" id="{73993C11-CC2B-4722-AED9-585E7546446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2" name="TextBox 351">
          <a:extLst>
            <a:ext uri="{FF2B5EF4-FFF2-40B4-BE49-F238E27FC236}">
              <a16:creationId xmlns:a16="http://schemas.microsoft.com/office/drawing/2014/main" xmlns="" id="{A523F31E-8111-4838-8A47-7B474EDA85B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3" name="TextBox 352">
          <a:extLst>
            <a:ext uri="{FF2B5EF4-FFF2-40B4-BE49-F238E27FC236}">
              <a16:creationId xmlns:a16="http://schemas.microsoft.com/office/drawing/2014/main" xmlns="" id="{574E8A19-C009-4224-AE59-B5D778EE71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4" name="TextBox 353">
          <a:extLst>
            <a:ext uri="{FF2B5EF4-FFF2-40B4-BE49-F238E27FC236}">
              <a16:creationId xmlns:a16="http://schemas.microsoft.com/office/drawing/2014/main" xmlns="" id="{74EA5472-E2F3-4DC4-8635-2D010BC65AA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5" name="TextBox 354">
          <a:extLst>
            <a:ext uri="{FF2B5EF4-FFF2-40B4-BE49-F238E27FC236}">
              <a16:creationId xmlns:a16="http://schemas.microsoft.com/office/drawing/2014/main" xmlns="" id="{B7507C08-A394-4125-A9C7-7EBB508494A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6" name="TextBox 355">
          <a:extLst>
            <a:ext uri="{FF2B5EF4-FFF2-40B4-BE49-F238E27FC236}">
              <a16:creationId xmlns:a16="http://schemas.microsoft.com/office/drawing/2014/main" xmlns="" id="{EF7EBF26-66ED-4C69-90B7-F2794D31044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7" name="TextBox 356">
          <a:extLst>
            <a:ext uri="{FF2B5EF4-FFF2-40B4-BE49-F238E27FC236}">
              <a16:creationId xmlns:a16="http://schemas.microsoft.com/office/drawing/2014/main" xmlns="" id="{B7EC75CC-BBD8-4573-811E-EDE5C680ACC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8" name="TextBox 357">
          <a:extLst>
            <a:ext uri="{FF2B5EF4-FFF2-40B4-BE49-F238E27FC236}">
              <a16:creationId xmlns:a16="http://schemas.microsoft.com/office/drawing/2014/main" xmlns="" id="{F80A217A-D5FF-4745-B402-62116221C90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59" name="TextBox 358">
          <a:extLst>
            <a:ext uri="{FF2B5EF4-FFF2-40B4-BE49-F238E27FC236}">
              <a16:creationId xmlns:a16="http://schemas.microsoft.com/office/drawing/2014/main" xmlns="" id="{281B6895-9946-4A0D-9710-CE83A496E5A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0" name="TextBox 359">
          <a:extLst>
            <a:ext uri="{FF2B5EF4-FFF2-40B4-BE49-F238E27FC236}">
              <a16:creationId xmlns:a16="http://schemas.microsoft.com/office/drawing/2014/main" xmlns="" id="{ECF327CD-3699-403B-B2FF-4D4A3CE49B8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1" name="TextBox 360">
          <a:extLst>
            <a:ext uri="{FF2B5EF4-FFF2-40B4-BE49-F238E27FC236}">
              <a16:creationId xmlns:a16="http://schemas.microsoft.com/office/drawing/2014/main" xmlns="" id="{E8B1D79E-6F6B-422F-957B-1C3FAD31D96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2" name="TextBox 361">
          <a:extLst>
            <a:ext uri="{FF2B5EF4-FFF2-40B4-BE49-F238E27FC236}">
              <a16:creationId xmlns:a16="http://schemas.microsoft.com/office/drawing/2014/main" xmlns="" id="{49B50BB8-D711-4536-B041-65042E0FFDA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3" name="TextBox 362">
          <a:extLst>
            <a:ext uri="{FF2B5EF4-FFF2-40B4-BE49-F238E27FC236}">
              <a16:creationId xmlns:a16="http://schemas.microsoft.com/office/drawing/2014/main" xmlns="" id="{7C777084-D627-4864-A332-1EAD7EBE39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4" name="TextBox 363">
          <a:extLst>
            <a:ext uri="{FF2B5EF4-FFF2-40B4-BE49-F238E27FC236}">
              <a16:creationId xmlns:a16="http://schemas.microsoft.com/office/drawing/2014/main" xmlns="" id="{9DE1033C-374A-4927-8D28-33BE527C354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5" name="TextBox 364">
          <a:extLst>
            <a:ext uri="{FF2B5EF4-FFF2-40B4-BE49-F238E27FC236}">
              <a16:creationId xmlns:a16="http://schemas.microsoft.com/office/drawing/2014/main" xmlns="" id="{A5DE2489-DA07-42A9-8B13-65AEDA0246C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6" name="TextBox 365">
          <a:extLst>
            <a:ext uri="{FF2B5EF4-FFF2-40B4-BE49-F238E27FC236}">
              <a16:creationId xmlns:a16="http://schemas.microsoft.com/office/drawing/2014/main" xmlns="" id="{1146B458-B1C6-4071-B294-5AF711B3944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7" name="TextBox 366">
          <a:extLst>
            <a:ext uri="{FF2B5EF4-FFF2-40B4-BE49-F238E27FC236}">
              <a16:creationId xmlns:a16="http://schemas.microsoft.com/office/drawing/2014/main" xmlns="" id="{38A2AA48-9FFF-4DBD-AF7E-27C0ACAACB3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8" name="TextBox 367">
          <a:extLst>
            <a:ext uri="{FF2B5EF4-FFF2-40B4-BE49-F238E27FC236}">
              <a16:creationId xmlns:a16="http://schemas.microsoft.com/office/drawing/2014/main" xmlns="" id="{619460B0-CD0D-4FC3-A29A-B942DEAE724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69" name="TextBox 368">
          <a:extLst>
            <a:ext uri="{FF2B5EF4-FFF2-40B4-BE49-F238E27FC236}">
              <a16:creationId xmlns:a16="http://schemas.microsoft.com/office/drawing/2014/main" xmlns="" id="{0E11215A-02DD-42CE-92C0-4682B0135B0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0" name="TextBox 369">
          <a:extLst>
            <a:ext uri="{FF2B5EF4-FFF2-40B4-BE49-F238E27FC236}">
              <a16:creationId xmlns:a16="http://schemas.microsoft.com/office/drawing/2014/main" xmlns="" id="{99F4B2A0-4A01-436D-A517-C8BC253447A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1" name="TextBox 370">
          <a:extLst>
            <a:ext uri="{FF2B5EF4-FFF2-40B4-BE49-F238E27FC236}">
              <a16:creationId xmlns:a16="http://schemas.microsoft.com/office/drawing/2014/main" xmlns="" id="{3333295A-DDF2-4057-AED2-36A246FBAC1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2" name="TextBox 371">
          <a:extLst>
            <a:ext uri="{FF2B5EF4-FFF2-40B4-BE49-F238E27FC236}">
              <a16:creationId xmlns:a16="http://schemas.microsoft.com/office/drawing/2014/main" xmlns="" id="{0ABBC991-7187-4B15-907A-AC15D04DDE9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3" name="TextBox 372">
          <a:extLst>
            <a:ext uri="{FF2B5EF4-FFF2-40B4-BE49-F238E27FC236}">
              <a16:creationId xmlns:a16="http://schemas.microsoft.com/office/drawing/2014/main" xmlns="" id="{6EF36200-F156-419B-9C0D-2E67030D38A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4" name="TextBox 373">
          <a:extLst>
            <a:ext uri="{FF2B5EF4-FFF2-40B4-BE49-F238E27FC236}">
              <a16:creationId xmlns:a16="http://schemas.microsoft.com/office/drawing/2014/main" xmlns="" id="{C04D4BBC-35A1-4AB3-B0D6-337539048FA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5" name="TextBox 374">
          <a:extLst>
            <a:ext uri="{FF2B5EF4-FFF2-40B4-BE49-F238E27FC236}">
              <a16:creationId xmlns:a16="http://schemas.microsoft.com/office/drawing/2014/main" xmlns="" id="{8F7E9003-67AA-4D2E-93F3-EC7B853D97C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6" name="TextBox 375">
          <a:extLst>
            <a:ext uri="{FF2B5EF4-FFF2-40B4-BE49-F238E27FC236}">
              <a16:creationId xmlns:a16="http://schemas.microsoft.com/office/drawing/2014/main" xmlns="" id="{9E46D4AC-AC7C-4075-AD1D-B073D5FC801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7" name="TextBox 376">
          <a:extLst>
            <a:ext uri="{FF2B5EF4-FFF2-40B4-BE49-F238E27FC236}">
              <a16:creationId xmlns:a16="http://schemas.microsoft.com/office/drawing/2014/main" xmlns="" id="{0F665A84-C5D4-4020-B995-1F8E312660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8" name="TextBox 377">
          <a:extLst>
            <a:ext uri="{FF2B5EF4-FFF2-40B4-BE49-F238E27FC236}">
              <a16:creationId xmlns:a16="http://schemas.microsoft.com/office/drawing/2014/main" xmlns="" id="{33190DE2-B2F6-4BAD-8553-50CF9BEF116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79" name="TextBox 378">
          <a:extLst>
            <a:ext uri="{FF2B5EF4-FFF2-40B4-BE49-F238E27FC236}">
              <a16:creationId xmlns:a16="http://schemas.microsoft.com/office/drawing/2014/main" xmlns="" id="{85CE957B-9D7F-43FF-8374-19CF4E104DE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0" name="TextBox 379">
          <a:extLst>
            <a:ext uri="{FF2B5EF4-FFF2-40B4-BE49-F238E27FC236}">
              <a16:creationId xmlns:a16="http://schemas.microsoft.com/office/drawing/2014/main" xmlns="" id="{1E31C7F5-9289-42C2-82E4-461D82658C5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1" name="TextBox 380">
          <a:extLst>
            <a:ext uri="{FF2B5EF4-FFF2-40B4-BE49-F238E27FC236}">
              <a16:creationId xmlns:a16="http://schemas.microsoft.com/office/drawing/2014/main" xmlns="" id="{AD9270C1-C94B-44EA-9F91-B9DFB480FBD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2" name="TextBox 381">
          <a:extLst>
            <a:ext uri="{FF2B5EF4-FFF2-40B4-BE49-F238E27FC236}">
              <a16:creationId xmlns:a16="http://schemas.microsoft.com/office/drawing/2014/main" xmlns="" id="{C31E3B5B-E338-4F1B-9FD6-03A51F37058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3" name="TextBox 382">
          <a:extLst>
            <a:ext uri="{FF2B5EF4-FFF2-40B4-BE49-F238E27FC236}">
              <a16:creationId xmlns:a16="http://schemas.microsoft.com/office/drawing/2014/main" xmlns="" id="{36B2BA08-D231-46CE-AC89-EE25FAE5A19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4" name="TextBox 383">
          <a:extLst>
            <a:ext uri="{FF2B5EF4-FFF2-40B4-BE49-F238E27FC236}">
              <a16:creationId xmlns:a16="http://schemas.microsoft.com/office/drawing/2014/main" xmlns="" id="{4978D5F5-3776-454F-B473-765AE9EAFD5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5" name="TextBox 384">
          <a:extLst>
            <a:ext uri="{FF2B5EF4-FFF2-40B4-BE49-F238E27FC236}">
              <a16:creationId xmlns:a16="http://schemas.microsoft.com/office/drawing/2014/main" xmlns="" id="{073BA55E-E0AC-4BD2-96B2-FD245B07BA2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6" name="TextBox 385">
          <a:extLst>
            <a:ext uri="{FF2B5EF4-FFF2-40B4-BE49-F238E27FC236}">
              <a16:creationId xmlns:a16="http://schemas.microsoft.com/office/drawing/2014/main" xmlns="" id="{EACDAC85-E5C4-4298-BEE6-E86B5B7BE4C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7" name="TextBox 386">
          <a:extLst>
            <a:ext uri="{FF2B5EF4-FFF2-40B4-BE49-F238E27FC236}">
              <a16:creationId xmlns:a16="http://schemas.microsoft.com/office/drawing/2014/main" xmlns="" id="{5C7188CB-8C7D-41FD-BAB9-7197660E3BA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8" name="TextBox 387">
          <a:extLst>
            <a:ext uri="{FF2B5EF4-FFF2-40B4-BE49-F238E27FC236}">
              <a16:creationId xmlns:a16="http://schemas.microsoft.com/office/drawing/2014/main" xmlns="" id="{BFE6AFFA-A27B-451E-B04F-C07BAAAA913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89" name="TextBox 388">
          <a:extLst>
            <a:ext uri="{FF2B5EF4-FFF2-40B4-BE49-F238E27FC236}">
              <a16:creationId xmlns:a16="http://schemas.microsoft.com/office/drawing/2014/main" xmlns="" id="{6CA8EFB2-3ED8-4792-BA24-11E73B4A300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0" name="TextBox 389">
          <a:extLst>
            <a:ext uri="{FF2B5EF4-FFF2-40B4-BE49-F238E27FC236}">
              <a16:creationId xmlns:a16="http://schemas.microsoft.com/office/drawing/2014/main" xmlns="" id="{444AB1DD-B7AA-46EA-AB73-D03472E995E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1" name="TextBox 390">
          <a:extLst>
            <a:ext uri="{FF2B5EF4-FFF2-40B4-BE49-F238E27FC236}">
              <a16:creationId xmlns:a16="http://schemas.microsoft.com/office/drawing/2014/main" xmlns="" id="{9B3FD714-9712-46D8-A785-7BE43C2C728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2" name="TextBox 391">
          <a:extLst>
            <a:ext uri="{FF2B5EF4-FFF2-40B4-BE49-F238E27FC236}">
              <a16:creationId xmlns:a16="http://schemas.microsoft.com/office/drawing/2014/main" xmlns="" id="{67A8A0AA-AD37-45C0-9D8B-781A11B824D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3" name="TextBox 392">
          <a:extLst>
            <a:ext uri="{FF2B5EF4-FFF2-40B4-BE49-F238E27FC236}">
              <a16:creationId xmlns:a16="http://schemas.microsoft.com/office/drawing/2014/main" xmlns="" id="{C1E2BC56-30F6-4B5B-B4F5-9B36BF0CE80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4" name="TextBox 393">
          <a:extLst>
            <a:ext uri="{FF2B5EF4-FFF2-40B4-BE49-F238E27FC236}">
              <a16:creationId xmlns:a16="http://schemas.microsoft.com/office/drawing/2014/main" xmlns="" id="{DD0CD823-9886-4A3B-A301-DE5C672552E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5" name="TextBox 394">
          <a:extLst>
            <a:ext uri="{FF2B5EF4-FFF2-40B4-BE49-F238E27FC236}">
              <a16:creationId xmlns:a16="http://schemas.microsoft.com/office/drawing/2014/main" xmlns="" id="{5C1D19E5-655E-4A80-BC44-591DA958FA8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6" name="TextBox 395">
          <a:extLst>
            <a:ext uri="{FF2B5EF4-FFF2-40B4-BE49-F238E27FC236}">
              <a16:creationId xmlns:a16="http://schemas.microsoft.com/office/drawing/2014/main" xmlns="" id="{C888877C-191C-44B0-89DD-BB19B6297E7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7" name="TextBox 396">
          <a:extLst>
            <a:ext uri="{FF2B5EF4-FFF2-40B4-BE49-F238E27FC236}">
              <a16:creationId xmlns:a16="http://schemas.microsoft.com/office/drawing/2014/main" xmlns="" id="{5A7C3616-81BB-47D8-826F-34F3475AED9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8" name="TextBox 397">
          <a:extLst>
            <a:ext uri="{FF2B5EF4-FFF2-40B4-BE49-F238E27FC236}">
              <a16:creationId xmlns:a16="http://schemas.microsoft.com/office/drawing/2014/main" xmlns="" id="{C7FF248B-8875-4F69-9EAA-8BFC4CD7FF9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399" name="TextBox 398">
          <a:extLst>
            <a:ext uri="{FF2B5EF4-FFF2-40B4-BE49-F238E27FC236}">
              <a16:creationId xmlns:a16="http://schemas.microsoft.com/office/drawing/2014/main" xmlns="" id="{586D8E7B-2B3A-448E-A129-2A486C3CE04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0" name="TextBox 399">
          <a:extLst>
            <a:ext uri="{FF2B5EF4-FFF2-40B4-BE49-F238E27FC236}">
              <a16:creationId xmlns:a16="http://schemas.microsoft.com/office/drawing/2014/main" xmlns="" id="{E18BCF9B-4516-4215-ABC1-21C6F4CBBFB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1" name="TextBox 400">
          <a:extLst>
            <a:ext uri="{FF2B5EF4-FFF2-40B4-BE49-F238E27FC236}">
              <a16:creationId xmlns:a16="http://schemas.microsoft.com/office/drawing/2014/main" xmlns="" id="{478D4090-F570-4092-95BD-5A3AF8FB46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2" name="TextBox 401">
          <a:extLst>
            <a:ext uri="{FF2B5EF4-FFF2-40B4-BE49-F238E27FC236}">
              <a16:creationId xmlns:a16="http://schemas.microsoft.com/office/drawing/2014/main" xmlns="" id="{65B12079-0F81-4BA8-9F76-60D15400EB3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3" name="TextBox 402">
          <a:extLst>
            <a:ext uri="{FF2B5EF4-FFF2-40B4-BE49-F238E27FC236}">
              <a16:creationId xmlns:a16="http://schemas.microsoft.com/office/drawing/2014/main" xmlns="" id="{A2E28741-21AB-4ED6-9AFA-F76906CAF79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4" name="TextBox 403">
          <a:extLst>
            <a:ext uri="{FF2B5EF4-FFF2-40B4-BE49-F238E27FC236}">
              <a16:creationId xmlns:a16="http://schemas.microsoft.com/office/drawing/2014/main" xmlns="" id="{A7250C65-04CD-444C-ACC7-D06AF6D5FAE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5" name="TextBox 404">
          <a:extLst>
            <a:ext uri="{FF2B5EF4-FFF2-40B4-BE49-F238E27FC236}">
              <a16:creationId xmlns:a16="http://schemas.microsoft.com/office/drawing/2014/main" xmlns="" id="{97C56855-957F-4B6E-9320-7C98FBB3E9F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6" name="TextBox 405">
          <a:extLst>
            <a:ext uri="{FF2B5EF4-FFF2-40B4-BE49-F238E27FC236}">
              <a16:creationId xmlns:a16="http://schemas.microsoft.com/office/drawing/2014/main" xmlns="" id="{12F2F2F0-63D8-4D03-90E0-C725304C467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7" name="TextBox 406">
          <a:extLst>
            <a:ext uri="{FF2B5EF4-FFF2-40B4-BE49-F238E27FC236}">
              <a16:creationId xmlns:a16="http://schemas.microsoft.com/office/drawing/2014/main" xmlns="" id="{C07ABCF2-1B81-453D-AF83-955EFB0B6B7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8" name="TextBox 407">
          <a:extLst>
            <a:ext uri="{FF2B5EF4-FFF2-40B4-BE49-F238E27FC236}">
              <a16:creationId xmlns:a16="http://schemas.microsoft.com/office/drawing/2014/main" xmlns="" id="{5C7863D6-A244-45FC-B3C0-0D1A0D472D8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09" name="TextBox 408">
          <a:extLst>
            <a:ext uri="{FF2B5EF4-FFF2-40B4-BE49-F238E27FC236}">
              <a16:creationId xmlns:a16="http://schemas.microsoft.com/office/drawing/2014/main" xmlns="" id="{9FF3ED8D-9A67-4C6C-AB4C-C355B784973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0" name="TextBox 409">
          <a:extLst>
            <a:ext uri="{FF2B5EF4-FFF2-40B4-BE49-F238E27FC236}">
              <a16:creationId xmlns:a16="http://schemas.microsoft.com/office/drawing/2014/main" xmlns="" id="{D2EEE392-AA64-47AB-955A-0BAB2AC122C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1" name="TextBox 410">
          <a:extLst>
            <a:ext uri="{FF2B5EF4-FFF2-40B4-BE49-F238E27FC236}">
              <a16:creationId xmlns:a16="http://schemas.microsoft.com/office/drawing/2014/main" xmlns="" id="{33584A5A-BA99-4DDA-A0AB-C92806F70DB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2" name="TextBox 411">
          <a:extLst>
            <a:ext uri="{FF2B5EF4-FFF2-40B4-BE49-F238E27FC236}">
              <a16:creationId xmlns:a16="http://schemas.microsoft.com/office/drawing/2014/main" xmlns="" id="{30061A5F-23ED-4EEB-8E24-B9CB3D5BB2D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3" name="TextBox 412">
          <a:extLst>
            <a:ext uri="{FF2B5EF4-FFF2-40B4-BE49-F238E27FC236}">
              <a16:creationId xmlns:a16="http://schemas.microsoft.com/office/drawing/2014/main" xmlns="" id="{261C9C8B-6065-4127-841C-7113EED0CA3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4" name="TextBox 413">
          <a:extLst>
            <a:ext uri="{FF2B5EF4-FFF2-40B4-BE49-F238E27FC236}">
              <a16:creationId xmlns:a16="http://schemas.microsoft.com/office/drawing/2014/main" xmlns="" id="{AB745C2E-016E-49C0-A879-927263C49E3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5" name="TextBox 414">
          <a:extLst>
            <a:ext uri="{FF2B5EF4-FFF2-40B4-BE49-F238E27FC236}">
              <a16:creationId xmlns:a16="http://schemas.microsoft.com/office/drawing/2014/main" xmlns="" id="{83F6E6BA-0294-431A-83A1-7DC462EADC4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6" name="TextBox 415">
          <a:extLst>
            <a:ext uri="{FF2B5EF4-FFF2-40B4-BE49-F238E27FC236}">
              <a16:creationId xmlns:a16="http://schemas.microsoft.com/office/drawing/2014/main" xmlns="" id="{465CE704-D3C4-48D6-B4FE-8C0A586387E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7" name="TextBox 416">
          <a:extLst>
            <a:ext uri="{FF2B5EF4-FFF2-40B4-BE49-F238E27FC236}">
              <a16:creationId xmlns:a16="http://schemas.microsoft.com/office/drawing/2014/main" xmlns="" id="{9A4736C7-600C-4FF6-9D0C-209F471779D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8" name="TextBox 417">
          <a:extLst>
            <a:ext uri="{FF2B5EF4-FFF2-40B4-BE49-F238E27FC236}">
              <a16:creationId xmlns:a16="http://schemas.microsoft.com/office/drawing/2014/main" xmlns="" id="{89E44049-3380-411B-BC14-6E0B383AB37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19" name="TextBox 418">
          <a:extLst>
            <a:ext uri="{FF2B5EF4-FFF2-40B4-BE49-F238E27FC236}">
              <a16:creationId xmlns:a16="http://schemas.microsoft.com/office/drawing/2014/main" xmlns="" id="{F41FBDF8-3923-461C-9914-D3EEA64D25D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0" name="TextBox 419">
          <a:extLst>
            <a:ext uri="{FF2B5EF4-FFF2-40B4-BE49-F238E27FC236}">
              <a16:creationId xmlns:a16="http://schemas.microsoft.com/office/drawing/2014/main" xmlns="" id="{228FFF1E-E4D1-44DF-8D35-B313C50DA66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1" name="TextBox 420">
          <a:extLst>
            <a:ext uri="{FF2B5EF4-FFF2-40B4-BE49-F238E27FC236}">
              <a16:creationId xmlns:a16="http://schemas.microsoft.com/office/drawing/2014/main" xmlns="" id="{AC853A1D-FD19-40CC-86B3-B1D780BF409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2" name="TextBox 421">
          <a:extLst>
            <a:ext uri="{FF2B5EF4-FFF2-40B4-BE49-F238E27FC236}">
              <a16:creationId xmlns:a16="http://schemas.microsoft.com/office/drawing/2014/main" xmlns="" id="{736F84E9-DEDF-4F99-AA11-42F2B4A08E5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3" name="TextBox 422">
          <a:extLst>
            <a:ext uri="{FF2B5EF4-FFF2-40B4-BE49-F238E27FC236}">
              <a16:creationId xmlns:a16="http://schemas.microsoft.com/office/drawing/2014/main" xmlns="" id="{049F47AE-FFD9-449E-8CE2-FFCEF54EF42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4" name="TextBox 423">
          <a:extLst>
            <a:ext uri="{FF2B5EF4-FFF2-40B4-BE49-F238E27FC236}">
              <a16:creationId xmlns:a16="http://schemas.microsoft.com/office/drawing/2014/main" xmlns="" id="{5E498504-DC8C-4C48-9BD2-CFA5CB404C3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5" name="TextBox 424">
          <a:extLst>
            <a:ext uri="{FF2B5EF4-FFF2-40B4-BE49-F238E27FC236}">
              <a16:creationId xmlns:a16="http://schemas.microsoft.com/office/drawing/2014/main" xmlns="" id="{2D36C090-4024-4A04-BEAE-1B80A909CEF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6" name="TextBox 425">
          <a:extLst>
            <a:ext uri="{FF2B5EF4-FFF2-40B4-BE49-F238E27FC236}">
              <a16:creationId xmlns:a16="http://schemas.microsoft.com/office/drawing/2014/main" xmlns="" id="{401033F6-DC54-4A10-824E-4423F0356DE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7" name="TextBox 426">
          <a:extLst>
            <a:ext uri="{FF2B5EF4-FFF2-40B4-BE49-F238E27FC236}">
              <a16:creationId xmlns:a16="http://schemas.microsoft.com/office/drawing/2014/main" xmlns="" id="{C54C60EA-9CB6-48A1-98A5-1F3EC3CF2D1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8" name="TextBox 427">
          <a:extLst>
            <a:ext uri="{FF2B5EF4-FFF2-40B4-BE49-F238E27FC236}">
              <a16:creationId xmlns:a16="http://schemas.microsoft.com/office/drawing/2014/main" xmlns="" id="{EA89B41A-1AE1-4B8B-B802-D8E144A718E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29" name="TextBox 428">
          <a:extLst>
            <a:ext uri="{FF2B5EF4-FFF2-40B4-BE49-F238E27FC236}">
              <a16:creationId xmlns:a16="http://schemas.microsoft.com/office/drawing/2014/main" xmlns="" id="{29333547-D482-4522-88FA-52CF27618A1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0" name="TextBox 429">
          <a:extLst>
            <a:ext uri="{FF2B5EF4-FFF2-40B4-BE49-F238E27FC236}">
              <a16:creationId xmlns:a16="http://schemas.microsoft.com/office/drawing/2014/main" xmlns="" id="{3D9705EC-D4B5-4F28-BC58-826003DF067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1" name="TextBox 430">
          <a:extLst>
            <a:ext uri="{FF2B5EF4-FFF2-40B4-BE49-F238E27FC236}">
              <a16:creationId xmlns:a16="http://schemas.microsoft.com/office/drawing/2014/main" xmlns="" id="{458F1DA8-8BA4-495E-98F1-C0F709A3865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2" name="TextBox 431">
          <a:extLst>
            <a:ext uri="{FF2B5EF4-FFF2-40B4-BE49-F238E27FC236}">
              <a16:creationId xmlns:a16="http://schemas.microsoft.com/office/drawing/2014/main" xmlns="" id="{F3BE9EFB-0D29-4E6C-AC51-5F1604B5BD3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3" name="TextBox 432">
          <a:extLst>
            <a:ext uri="{FF2B5EF4-FFF2-40B4-BE49-F238E27FC236}">
              <a16:creationId xmlns:a16="http://schemas.microsoft.com/office/drawing/2014/main" xmlns="" id="{C3670811-8BAF-4785-AC62-5DA66BC95F1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4" name="TextBox 433">
          <a:extLst>
            <a:ext uri="{FF2B5EF4-FFF2-40B4-BE49-F238E27FC236}">
              <a16:creationId xmlns:a16="http://schemas.microsoft.com/office/drawing/2014/main" xmlns="" id="{911AC8C4-6199-468E-A9B7-9F938971552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5" name="TextBox 434">
          <a:extLst>
            <a:ext uri="{FF2B5EF4-FFF2-40B4-BE49-F238E27FC236}">
              <a16:creationId xmlns:a16="http://schemas.microsoft.com/office/drawing/2014/main" xmlns="" id="{D10D18C1-49FF-41F8-B666-8711DCF2F2C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6" name="TextBox 435">
          <a:extLst>
            <a:ext uri="{FF2B5EF4-FFF2-40B4-BE49-F238E27FC236}">
              <a16:creationId xmlns:a16="http://schemas.microsoft.com/office/drawing/2014/main" xmlns="" id="{5016A248-7E39-43C1-8A06-1D0094F91F3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7" name="TextBox 436">
          <a:extLst>
            <a:ext uri="{FF2B5EF4-FFF2-40B4-BE49-F238E27FC236}">
              <a16:creationId xmlns:a16="http://schemas.microsoft.com/office/drawing/2014/main" xmlns="" id="{76483D49-6C7C-4D98-ADF7-CC463DD5109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8" name="TextBox 437">
          <a:extLst>
            <a:ext uri="{FF2B5EF4-FFF2-40B4-BE49-F238E27FC236}">
              <a16:creationId xmlns:a16="http://schemas.microsoft.com/office/drawing/2014/main" xmlns="" id="{F315572C-85E8-4E64-8298-620A7C965D7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39" name="TextBox 438">
          <a:extLst>
            <a:ext uri="{FF2B5EF4-FFF2-40B4-BE49-F238E27FC236}">
              <a16:creationId xmlns:a16="http://schemas.microsoft.com/office/drawing/2014/main" xmlns="" id="{E0185B36-7AD4-4DCD-B81F-0FF5DD9EB01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0" name="TextBox 439">
          <a:extLst>
            <a:ext uri="{FF2B5EF4-FFF2-40B4-BE49-F238E27FC236}">
              <a16:creationId xmlns:a16="http://schemas.microsoft.com/office/drawing/2014/main" xmlns="" id="{FDF6278F-525A-4DDA-AD5C-BA6C40EA27C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1" name="TextBox 440">
          <a:extLst>
            <a:ext uri="{FF2B5EF4-FFF2-40B4-BE49-F238E27FC236}">
              <a16:creationId xmlns:a16="http://schemas.microsoft.com/office/drawing/2014/main" xmlns="" id="{10E2C34E-3BBF-4A69-945C-9909474209B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2" name="TextBox 441">
          <a:extLst>
            <a:ext uri="{FF2B5EF4-FFF2-40B4-BE49-F238E27FC236}">
              <a16:creationId xmlns:a16="http://schemas.microsoft.com/office/drawing/2014/main" xmlns="" id="{201970F3-05ED-4C53-8252-4E6CE263C85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3" name="TextBox 442">
          <a:extLst>
            <a:ext uri="{FF2B5EF4-FFF2-40B4-BE49-F238E27FC236}">
              <a16:creationId xmlns:a16="http://schemas.microsoft.com/office/drawing/2014/main" xmlns="" id="{4FD07A8B-C3A3-40F0-B807-E7DDF17CFC7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4" name="TextBox 443">
          <a:extLst>
            <a:ext uri="{FF2B5EF4-FFF2-40B4-BE49-F238E27FC236}">
              <a16:creationId xmlns:a16="http://schemas.microsoft.com/office/drawing/2014/main" xmlns="" id="{B3C16C2E-A79A-4073-B3A3-3D9AC0B4545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5" name="TextBox 444">
          <a:extLst>
            <a:ext uri="{FF2B5EF4-FFF2-40B4-BE49-F238E27FC236}">
              <a16:creationId xmlns:a16="http://schemas.microsoft.com/office/drawing/2014/main" xmlns="" id="{7CE78657-1796-479E-883F-C7ACBC3BDA8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6" name="TextBox 445">
          <a:extLst>
            <a:ext uri="{FF2B5EF4-FFF2-40B4-BE49-F238E27FC236}">
              <a16:creationId xmlns:a16="http://schemas.microsoft.com/office/drawing/2014/main" xmlns="" id="{C510300D-A761-41DF-98FE-088F8239D6A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7" name="TextBox 446">
          <a:extLst>
            <a:ext uri="{FF2B5EF4-FFF2-40B4-BE49-F238E27FC236}">
              <a16:creationId xmlns:a16="http://schemas.microsoft.com/office/drawing/2014/main" xmlns="" id="{F5A28CF5-EAFA-47CC-A9DB-470DE93FB74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8" name="TextBox 447">
          <a:extLst>
            <a:ext uri="{FF2B5EF4-FFF2-40B4-BE49-F238E27FC236}">
              <a16:creationId xmlns:a16="http://schemas.microsoft.com/office/drawing/2014/main" xmlns="" id="{7F778B6E-888A-40ED-94A2-E104D3E3CE9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49" name="TextBox 448">
          <a:extLst>
            <a:ext uri="{FF2B5EF4-FFF2-40B4-BE49-F238E27FC236}">
              <a16:creationId xmlns:a16="http://schemas.microsoft.com/office/drawing/2014/main" xmlns="" id="{8FF6CFB5-F727-4BDB-887E-67845A33C93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0" name="TextBox 449">
          <a:extLst>
            <a:ext uri="{FF2B5EF4-FFF2-40B4-BE49-F238E27FC236}">
              <a16:creationId xmlns:a16="http://schemas.microsoft.com/office/drawing/2014/main" xmlns="" id="{F901BF2D-0FC2-4BD8-A8C6-23620CBAC58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1" name="TextBox 450">
          <a:extLst>
            <a:ext uri="{FF2B5EF4-FFF2-40B4-BE49-F238E27FC236}">
              <a16:creationId xmlns:a16="http://schemas.microsoft.com/office/drawing/2014/main" xmlns="" id="{E7D631D6-3F40-4BCE-A345-95C83F9FB9A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2" name="TextBox 451">
          <a:extLst>
            <a:ext uri="{FF2B5EF4-FFF2-40B4-BE49-F238E27FC236}">
              <a16:creationId xmlns:a16="http://schemas.microsoft.com/office/drawing/2014/main" xmlns="" id="{6111082C-EEBF-43CE-8E8A-76E6E592B1E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3" name="TextBox 452">
          <a:extLst>
            <a:ext uri="{FF2B5EF4-FFF2-40B4-BE49-F238E27FC236}">
              <a16:creationId xmlns:a16="http://schemas.microsoft.com/office/drawing/2014/main" xmlns="" id="{FCEBBAE3-97AC-4642-B5E4-52E0F16A79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4" name="TextBox 453">
          <a:extLst>
            <a:ext uri="{FF2B5EF4-FFF2-40B4-BE49-F238E27FC236}">
              <a16:creationId xmlns:a16="http://schemas.microsoft.com/office/drawing/2014/main" xmlns="" id="{6F9C071D-F6EC-4E39-A5DA-DE258B9CC31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5" name="TextBox 454">
          <a:extLst>
            <a:ext uri="{FF2B5EF4-FFF2-40B4-BE49-F238E27FC236}">
              <a16:creationId xmlns:a16="http://schemas.microsoft.com/office/drawing/2014/main" xmlns="" id="{F14DC6CA-4F3A-4CBC-9E9C-7DDED575A42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6" name="TextBox 455">
          <a:extLst>
            <a:ext uri="{FF2B5EF4-FFF2-40B4-BE49-F238E27FC236}">
              <a16:creationId xmlns:a16="http://schemas.microsoft.com/office/drawing/2014/main" xmlns="" id="{8FBBB2B5-668C-499D-8659-C671678C46C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7" name="TextBox 456">
          <a:extLst>
            <a:ext uri="{FF2B5EF4-FFF2-40B4-BE49-F238E27FC236}">
              <a16:creationId xmlns:a16="http://schemas.microsoft.com/office/drawing/2014/main" xmlns="" id="{A6E543E6-9FBE-40B3-9D16-5FD886D574B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8" name="TextBox 457">
          <a:extLst>
            <a:ext uri="{FF2B5EF4-FFF2-40B4-BE49-F238E27FC236}">
              <a16:creationId xmlns:a16="http://schemas.microsoft.com/office/drawing/2014/main" xmlns="" id="{376A90A5-1790-4894-BE2F-83402803E88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59" name="TextBox 458">
          <a:extLst>
            <a:ext uri="{FF2B5EF4-FFF2-40B4-BE49-F238E27FC236}">
              <a16:creationId xmlns:a16="http://schemas.microsoft.com/office/drawing/2014/main" xmlns="" id="{3274B52A-8AED-4653-9C1B-11E6D90C52E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0" name="TextBox 459">
          <a:extLst>
            <a:ext uri="{FF2B5EF4-FFF2-40B4-BE49-F238E27FC236}">
              <a16:creationId xmlns:a16="http://schemas.microsoft.com/office/drawing/2014/main" xmlns="" id="{98AAFD7D-85B5-4C6B-BF51-6BC0C936B9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1" name="TextBox 460">
          <a:extLst>
            <a:ext uri="{FF2B5EF4-FFF2-40B4-BE49-F238E27FC236}">
              <a16:creationId xmlns:a16="http://schemas.microsoft.com/office/drawing/2014/main" xmlns="" id="{17E92528-343F-47B3-8F8B-1F384517E05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2" name="TextBox 461">
          <a:extLst>
            <a:ext uri="{FF2B5EF4-FFF2-40B4-BE49-F238E27FC236}">
              <a16:creationId xmlns:a16="http://schemas.microsoft.com/office/drawing/2014/main" xmlns="" id="{0CF2843B-B9C2-4CC7-AD83-A02E4B87993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3" name="TextBox 462">
          <a:extLst>
            <a:ext uri="{FF2B5EF4-FFF2-40B4-BE49-F238E27FC236}">
              <a16:creationId xmlns:a16="http://schemas.microsoft.com/office/drawing/2014/main" xmlns="" id="{9EC3DE54-A86D-45D4-99B6-80DEC3FB667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4" name="TextBox 463">
          <a:extLst>
            <a:ext uri="{FF2B5EF4-FFF2-40B4-BE49-F238E27FC236}">
              <a16:creationId xmlns:a16="http://schemas.microsoft.com/office/drawing/2014/main" xmlns="" id="{BB3EC439-952A-47F8-84C8-9516DECDDE2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5" name="TextBox 464">
          <a:extLst>
            <a:ext uri="{FF2B5EF4-FFF2-40B4-BE49-F238E27FC236}">
              <a16:creationId xmlns:a16="http://schemas.microsoft.com/office/drawing/2014/main" xmlns="" id="{9D094B0A-D186-4090-8548-2C9279E1D4D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6" name="TextBox 465">
          <a:extLst>
            <a:ext uri="{FF2B5EF4-FFF2-40B4-BE49-F238E27FC236}">
              <a16:creationId xmlns:a16="http://schemas.microsoft.com/office/drawing/2014/main" xmlns="" id="{995C54E6-0F00-4BC2-B045-23C0464A1D3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7" name="TextBox 466">
          <a:extLst>
            <a:ext uri="{FF2B5EF4-FFF2-40B4-BE49-F238E27FC236}">
              <a16:creationId xmlns:a16="http://schemas.microsoft.com/office/drawing/2014/main" xmlns="" id="{256D5E09-A428-4D64-8C70-078B11A86A9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8" name="TextBox 467">
          <a:extLst>
            <a:ext uri="{FF2B5EF4-FFF2-40B4-BE49-F238E27FC236}">
              <a16:creationId xmlns:a16="http://schemas.microsoft.com/office/drawing/2014/main" xmlns="" id="{8B4E7BC4-C1C8-4D17-AD02-49709F51865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69" name="TextBox 468">
          <a:extLst>
            <a:ext uri="{FF2B5EF4-FFF2-40B4-BE49-F238E27FC236}">
              <a16:creationId xmlns:a16="http://schemas.microsoft.com/office/drawing/2014/main" xmlns="" id="{1B70628D-A13E-4E01-AD24-9E1A3B69B92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0" name="TextBox 469">
          <a:extLst>
            <a:ext uri="{FF2B5EF4-FFF2-40B4-BE49-F238E27FC236}">
              <a16:creationId xmlns:a16="http://schemas.microsoft.com/office/drawing/2014/main" xmlns="" id="{CFD9956A-3FC0-4059-BCA6-EA01FF00AA7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1" name="TextBox 470">
          <a:extLst>
            <a:ext uri="{FF2B5EF4-FFF2-40B4-BE49-F238E27FC236}">
              <a16:creationId xmlns:a16="http://schemas.microsoft.com/office/drawing/2014/main" xmlns="" id="{DDC8611D-DB98-4B4B-AC89-ADF24E507B0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2" name="TextBox 471">
          <a:extLst>
            <a:ext uri="{FF2B5EF4-FFF2-40B4-BE49-F238E27FC236}">
              <a16:creationId xmlns:a16="http://schemas.microsoft.com/office/drawing/2014/main" xmlns="" id="{BCEAD489-C8D2-42B5-A5D3-85FF1909A98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3" name="TextBox 472">
          <a:extLst>
            <a:ext uri="{FF2B5EF4-FFF2-40B4-BE49-F238E27FC236}">
              <a16:creationId xmlns:a16="http://schemas.microsoft.com/office/drawing/2014/main" xmlns="" id="{EB4036D9-DC86-40AD-A08C-995AB3EC3B1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4" name="TextBox 473">
          <a:extLst>
            <a:ext uri="{FF2B5EF4-FFF2-40B4-BE49-F238E27FC236}">
              <a16:creationId xmlns:a16="http://schemas.microsoft.com/office/drawing/2014/main" xmlns="" id="{BAF97DCE-8C8D-4B63-87B6-65C9F943252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5" name="TextBox 474">
          <a:extLst>
            <a:ext uri="{FF2B5EF4-FFF2-40B4-BE49-F238E27FC236}">
              <a16:creationId xmlns:a16="http://schemas.microsoft.com/office/drawing/2014/main" xmlns="" id="{31223EBC-4ED1-40E6-A73F-14B5B9E8881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6" name="TextBox 475">
          <a:extLst>
            <a:ext uri="{FF2B5EF4-FFF2-40B4-BE49-F238E27FC236}">
              <a16:creationId xmlns:a16="http://schemas.microsoft.com/office/drawing/2014/main" xmlns="" id="{720FF90A-CB47-4C10-BBA2-295DBC2E42B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7" name="TextBox 476">
          <a:extLst>
            <a:ext uri="{FF2B5EF4-FFF2-40B4-BE49-F238E27FC236}">
              <a16:creationId xmlns:a16="http://schemas.microsoft.com/office/drawing/2014/main" xmlns="" id="{F95AAF94-276F-4696-9CAE-459C9336458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8" name="TextBox 477">
          <a:extLst>
            <a:ext uri="{FF2B5EF4-FFF2-40B4-BE49-F238E27FC236}">
              <a16:creationId xmlns:a16="http://schemas.microsoft.com/office/drawing/2014/main" xmlns="" id="{92450CF6-7CF8-449F-B823-80F59A12F82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79" name="TextBox 478">
          <a:extLst>
            <a:ext uri="{FF2B5EF4-FFF2-40B4-BE49-F238E27FC236}">
              <a16:creationId xmlns:a16="http://schemas.microsoft.com/office/drawing/2014/main" xmlns="" id="{6394E9C2-7A4F-41A8-98AC-303CAE9281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0" name="TextBox 479">
          <a:extLst>
            <a:ext uri="{FF2B5EF4-FFF2-40B4-BE49-F238E27FC236}">
              <a16:creationId xmlns:a16="http://schemas.microsoft.com/office/drawing/2014/main" xmlns="" id="{E647FE0C-09DF-4BE2-A2AA-C2D9B084D9A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1" name="TextBox 480">
          <a:extLst>
            <a:ext uri="{FF2B5EF4-FFF2-40B4-BE49-F238E27FC236}">
              <a16:creationId xmlns:a16="http://schemas.microsoft.com/office/drawing/2014/main" xmlns="" id="{9E6A3181-F7DE-4FD1-B042-BCAA6B27C8A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2" name="TextBox 481">
          <a:extLst>
            <a:ext uri="{FF2B5EF4-FFF2-40B4-BE49-F238E27FC236}">
              <a16:creationId xmlns:a16="http://schemas.microsoft.com/office/drawing/2014/main" xmlns="" id="{DE88E86D-1AAA-4D4D-AAEB-B4526F0B2FC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3" name="TextBox 482">
          <a:extLst>
            <a:ext uri="{FF2B5EF4-FFF2-40B4-BE49-F238E27FC236}">
              <a16:creationId xmlns:a16="http://schemas.microsoft.com/office/drawing/2014/main" xmlns="" id="{226EA498-7210-49F1-9580-974F277FA87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4" name="TextBox 483">
          <a:extLst>
            <a:ext uri="{FF2B5EF4-FFF2-40B4-BE49-F238E27FC236}">
              <a16:creationId xmlns:a16="http://schemas.microsoft.com/office/drawing/2014/main" xmlns="" id="{C5BDFF18-FE59-4967-A22E-6472E10D82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5" name="TextBox 484">
          <a:extLst>
            <a:ext uri="{FF2B5EF4-FFF2-40B4-BE49-F238E27FC236}">
              <a16:creationId xmlns:a16="http://schemas.microsoft.com/office/drawing/2014/main" xmlns="" id="{9532E1E3-FA4B-49F1-A003-8D1393534A4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6" name="TextBox 485">
          <a:extLst>
            <a:ext uri="{FF2B5EF4-FFF2-40B4-BE49-F238E27FC236}">
              <a16:creationId xmlns:a16="http://schemas.microsoft.com/office/drawing/2014/main" xmlns="" id="{6B486DA4-B904-4F1D-91A9-7538E53A1A3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7" name="TextBox 486">
          <a:extLst>
            <a:ext uri="{FF2B5EF4-FFF2-40B4-BE49-F238E27FC236}">
              <a16:creationId xmlns:a16="http://schemas.microsoft.com/office/drawing/2014/main" xmlns="" id="{D8D5F4F4-518F-43E5-A482-5D98BBAC8A3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8" name="TextBox 487">
          <a:extLst>
            <a:ext uri="{FF2B5EF4-FFF2-40B4-BE49-F238E27FC236}">
              <a16:creationId xmlns:a16="http://schemas.microsoft.com/office/drawing/2014/main" xmlns="" id="{7C42DA47-F99C-4E12-8215-2A5159F1C30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89" name="TextBox 488">
          <a:extLst>
            <a:ext uri="{FF2B5EF4-FFF2-40B4-BE49-F238E27FC236}">
              <a16:creationId xmlns:a16="http://schemas.microsoft.com/office/drawing/2014/main" xmlns="" id="{46285526-AC82-4777-9C96-061E5EC96F5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0" name="TextBox 489">
          <a:extLst>
            <a:ext uri="{FF2B5EF4-FFF2-40B4-BE49-F238E27FC236}">
              <a16:creationId xmlns:a16="http://schemas.microsoft.com/office/drawing/2014/main" xmlns="" id="{134835EB-A20F-40B2-95B3-759AF04F30B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1" name="TextBox 490">
          <a:extLst>
            <a:ext uri="{FF2B5EF4-FFF2-40B4-BE49-F238E27FC236}">
              <a16:creationId xmlns:a16="http://schemas.microsoft.com/office/drawing/2014/main" xmlns="" id="{04321271-4517-4EF8-8A51-25057C25361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2" name="TextBox 491">
          <a:extLst>
            <a:ext uri="{FF2B5EF4-FFF2-40B4-BE49-F238E27FC236}">
              <a16:creationId xmlns:a16="http://schemas.microsoft.com/office/drawing/2014/main" xmlns="" id="{70734F1E-07E1-4E1B-B113-E9BED225602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3" name="TextBox 492">
          <a:extLst>
            <a:ext uri="{FF2B5EF4-FFF2-40B4-BE49-F238E27FC236}">
              <a16:creationId xmlns:a16="http://schemas.microsoft.com/office/drawing/2014/main" xmlns="" id="{5271AE82-A794-42CE-88E6-A2F939856CA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4" name="TextBox 493">
          <a:extLst>
            <a:ext uri="{FF2B5EF4-FFF2-40B4-BE49-F238E27FC236}">
              <a16:creationId xmlns:a16="http://schemas.microsoft.com/office/drawing/2014/main" xmlns="" id="{1626943D-2999-4E7C-93DF-45C708978C6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5" name="TextBox 494">
          <a:extLst>
            <a:ext uri="{FF2B5EF4-FFF2-40B4-BE49-F238E27FC236}">
              <a16:creationId xmlns:a16="http://schemas.microsoft.com/office/drawing/2014/main" xmlns="" id="{DEAE2736-8D48-4FA3-8785-829C52DB814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6" name="TextBox 495">
          <a:extLst>
            <a:ext uri="{FF2B5EF4-FFF2-40B4-BE49-F238E27FC236}">
              <a16:creationId xmlns:a16="http://schemas.microsoft.com/office/drawing/2014/main" xmlns="" id="{5A908F81-71F1-4538-B1D7-6F6DC70DDA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7" name="TextBox 496">
          <a:extLst>
            <a:ext uri="{FF2B5EF4-FFF2-40B4-BE49-F238E27FC236}">
              <a16:creationId xmlns:a16="http://schemas.microsoft.com/office/drawing/2014/main" xmlns="" id="{DB42AE1A-F487-408F-8486-6CCE5CD0A56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8" name="TextBox 497">
          <a:extLst>
            <a:ext uri="{FF2B5EF4-FFF2-40B4-BE49-F238E27FC236}">
              <a16:creationId xmlns:a16="http://schemas.microsoft.com/office/drawing/2014/main" xmlns="" id="{63ADD838-7B38-4930-8DF1-A6610A4F196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499" name="TextBox 498">
          <a:extLst>
            <a:ext uri="{FF2B5EF4-FFF2-40B4-BE49-F238E27FC236}">
              <a16:creationId xmlns:a16="http://schemas.microsoft.com/office/drawing/2014/main" xmlns="" id="{C264FBF4-5B98-4532-BA00-6A514664220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0" name="TextBox 499">
          <a:extLst>
            <a:ext uri="{FF2B5EF4-FFF2-40B4-BE49-F238E27FC236}">
              <a16:creationId xmlns:a16="http://schemas.microsoft.com/office/drawing/2014/main" xmlns="" id="{0FC2043F-6E9D-402C-825B-F132E9BDDC1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1" name="TextBox 500">
          <a:extLst>
            <a:ext uri="{FF2B5EF4-FFF2-40B4-BE49-F238E27FC236}">
              <a16:creationId xmlns:a16="http://schemas.microsoft.com/office/drawing/2014/main" xmlns="" id="{430B64DE-7678-421C-8AFF-3C7EAE5E923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2" name="TextBox 501">
          <a:extLst>
            <a:ext uri="{FF2B5EF4-FFF2-40B4-BE49-F238E27FC236}">
              <a16:creationId xmlns:a16="http://schemas.microsoft.com/office/drawing/2014/main" xmlns="" id="{B7423818-2099-4A39-AF40-CBCE105FC9A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3" name="TextBox 502">
          <a:extLst>
            <a:ext uri="{FF2B5EF4-FFF2-40B4-BE49-F238E27FC236}">
              <a16:creationId xmlns:a16="http://schemas.microsoft.com/office/drawing/2014/main" xmlns="" id="{C8C4CD71-0E2E-463F-AE21-FACF3B6AF1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4" name="TextBox 503">
          <a:extLst>
            <a:ext uri="{FF2B5EF4-FFF2-40B4-BE49-F238E27FC236}">
              <a16:creationId xmlns:a16="http://schemas.microsoft.com/office/drawing/2014/main" xmlns="" id="{E518CFCE-D6DE-49A5-90EB-0A3BF738780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5" name="TextBox 504">
          <a:extLst>
            <a:ext uri="{FF2B5EF4-FFF2-40B4-BE49-F238E27FC236}">
              <a16:creationId xmlns:a16="http://schemas.microsoft.com/office/drawing/2014/main" xmlns="" id="{FB74CFF2-B0AD-4C32-B6C0-0DB0FD2F7E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6" name="TextBox 505">
          <a:extLst>
            <a:ext uri="{FF2B5EF4-FFF2-40B4-BE49-F238E27FC236}">
              <a16:creationId xmlns:a16="http://schemas.microsoft.com/office/drawing/2014/main" xmlns="" id="{03B54DFE-4C38-4CAE-8872-52E5E23AE3A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7" name="TextBox 506">
          <a:extLst>
            <a:ext uri="{FF2B5EF4-FFF2-40B4-BE49-F238E27FC236}">
              <a16:creationId xmlns:a16="http://schemas.microsoft.com/office/drawing/2014/main" xmlns="" id="{FEC13EF0-07F5-47CA-BA4B-F9D55E16A25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8" name="TextBox 507">
          <a:extLst>
            <a:ext uri="{FF2B5EF4-FFF2-40B4-BE49-F238E27FC236}">
              <a16:creationId xmlns:a16="http://schemas.microsoft.com/office/drawing/2014/main" xmlns="" id="{68F07DDE-A8A0-46AF-89C7-8508AD87E97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09" name="TextBox 508">
          <a:extLst>
            <a:ext uri="{FF2B5EF4-FFF2-40B4-BE49-F238E27FC236}">
              <a16:creationId xmlns:a16="http://schemas.microsoft.com/office/drawing/2014/main" xmlns="" id="{A5A84BB6-8D3E-4890-AD0F-1B4C815558A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0" name="TextBox 509">
          <a:extLst>
            <a:ext uri="{FF2B5EF4-FFF2-40B4-BE49-F238E27FC236}">
              <a16:creationId xmlns:a16="http://schemas.microsoft.com/office/drawing/2014/main" xmlns="" id="{826F418A-4A4D-4B5F-8162-0D9D54729A6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1" name="TextBox 510">
          <a:extLst>
            <a:ext uri="{FF2B5EF4-FFF2-40B4-BE49-F238E27FC236}">
              <a16:creationId xmlns:a16="http://schemas.microsoft.com/office/drawing/2014/main" xmlns="" id="{778F163E-FE20-41D1-97ED-9461EE1B62E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2" name="TextBox 511">
          <a:extLst>
            <a:ext uri="{FF2B5EF4-FFF2-40B4-BE49-F238E27FC236}">
              <a16:creationId xmlns:a16="http://schemas.microsoft.com/office/drawing/2014/main" xmlns="" id="{98914E3F-5AEB-42ED-BFD5-A2EAD611FBE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3" name="TextBox 512">
          <a:extLst>
            <a:ext uri="{FF2B5EF4-FFF2-40B4-BE49-F238E27FC236}">
              <a16:creationId xmlns:a16="http://schemas.microsoft.com/office/drawing/2014/main" xmlns="" id="{FD00DB26-3DE2-4F6C-AB4F-39E79A73EFB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4" name="TextBox 513">
          <a:extLst>
            <a:ext uri="{FF2B5EF4-FFF2-40B4-BE49-F238E27FC236}">
              <a16:creationId xmlns:a16="http://schemas.microsoft.com/office/drawing/2014/main" xmlns="" id="{E0D7C3CD-679E-489F-B0AC-C7B7328F707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5" name="TextBox 514">
          <a:extLst>
            <a:ext uri="{FF2B5EF4-FFF2-40B4-BE49-F238E27FC236}">
              <a16:creationId xmlns:a16="http://schemas.microsoft.com/office/drawing/2014/main" xmlns="" id="{975A9F99-4023-4DD0-B58A-F5D10A8874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6" name="TextBox 515">
          <a:extLst>
            <a:ext uri="{FF2B5EF4-FFF2-40B4-BE49-F238E27FC236}">
              <a16:creationId xmlns:a16="http://schemas.microsoft.com/office/drawing/2014/main" xmlns="" id="{76837DAA-7F6D-464B-B3FA-F924EC6EE77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7" name="TextBox 516">
          <a:extLst>
            <a:ext uri="{FF2B5EF4-FFF2-40B4-BE49-F238E27FC236}">
              <a16:creationId xmlns:a16="http://schemas.microsoft.com/office/drawing/2014/main" xmlns="" id="{1DF3EE40-4167-440E-BBC7-019054C7732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8" name="TextBox 517">
          <a:extLst>
            <a:ext uri="{FF2B5EF4-FFF2-40B4-BE49-F238E27FC236}">
              <a16:creationId xmlns:a16="http://schemas.microsoft.com/office/drawing/2014/main" xmlns="" id="{064226F7-5D21-49A4-86F5-8343A020637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19" name="TextBox 518">
          <a:extLst>
            <a:ext uri="{FF2B5EF4-FFF2-40B4-BE49-F238E27FC236}">
              <a16:creationId xmlns:a16="http://schemas.microsoft.com/office/drawing/2014/main" xmlns="" id="{393FB711-669A-4BF9-A431-36F3712271F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0" name="TextBox 519">
          <a:extLst>
            <a:ext uri="{FF2B5EF4-FFF2-40B4-BE49-F238E27FC236}">
              <a16:creationId xmlns:a16="http://schemas.microsoft.com/office/drawing/2014/main" xmlns="" id="{6BA95A1C-7B8B-42BC-B499-EEB6DF19370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1" name="TextBox 520">
          <a:extLst>
            <a:ext uri="{FF2B5EF4-FFF2-40B4-BE49-F238E27FC236}">
              <a16:creationId xmlns:a16="http://schemas.microsoft.com/office/drawing/2014/main" xmlns="" id="{196D7693-80F3-4461-BC63-8FDF5CB9C51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2" name="TextBox 521">
          <a:extLst>
            <a:ext uri="{FF2B5EF4-FFF2-40B4-BE49-F238E27FC236}">
              <a16:creationId xmlns:a16="http://schemas.microsoft.com/office/drawing/2014/main" xmlns="" id="{BD08913C-116C-42CB-B6EA-F0BC21F2819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3" name="TextBox 522">
          <a:extLst>
            <a:ext uri="{FF2B5EF4-FFF2-40B4-BE49-F238E27FC236}">
              <a16:creationId xmlns:a16="http://schemas.microsoft.com/office/drawing/2014/main" xmlns="" id="{06BC7B4B-4886-41D6-AC8F-C19D79F8B71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4" name="TextBox 523">
          <a:extLst>
            <a:ext uri="{FF2B5EF4-FFF2-40B4-BE49-F238E27FC236}">
              <a16:creationId xmlns:a16="http://schemas.microsoft.com/office/drawing/2014/main" xmlns="" id="{6F04986B-C27C-4CA9-AC60-C415D7E0B3E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5" name="TextBox 524">
          <a:extLst>
            <a:ext uri="{FF2B5EF4-FFF2-40B4-BE49-F238E27FC236}">
              <a16:creationId xmlns:a16="http://schemas.microsoft.com/office/drawing/2014/main" xmlns="" id="{E5763CD5-C1DE-4F8F-BA03-DF97C8B1FD9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6" name="TextBox 525">
          <a:extLst>
            <a:ext uri="{FF2B5EF4-FFF2-40B4-BE49-F238E27FC236}">
              <a16:creationId xmlns:a16="http://schemas.microsoft.com/office/drawing/2014/main" xmlns="" id="{26E90331-579B-4FC9-A331-50B8D9E4739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7" name="TextBox 526">
          <a:extLst>
            <a:ext uri="{FF2B5EF4-FFF2-40B4-BE49-F238E27FC236}">
              <a16:creationId xmlns:a16="http://schemas.microsoft.com/office/drawing/2014/main" xmlns="" id="{36952E18-8D94-4D54-99EB-A4C41F08A93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8" name="TextBox 527">
          <a:extLst>
            <a:ext uri="{FF2B5EF4-FFF2-40B4-BE49-F238E27FC236}">
              <a16:creationId xmlns:a16="http://schemas.microsoft.com/office/drawing/2014/main" xmlns="" id="{011CB646-4C4A-43C9-9683-6DD11CE148E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29" name="TextBox 528">
          <a:extLst>
            <a:ext uri="{FF2B5EF4-FFF2-40B4-BE49-F238E27FC236}">
              <a16:creationId xmlns:a16="http://schemas.microsoft.com/office/drawing/2014/main" xmlns="" id="{458A3649-D2CA-492D-9005-1F8E147A6B9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0" name="TextBox 529">
          <a:extLst>
            <a:ext uri="{FF2B5EF4-FFF2-40B4-BE49-F238E27FC236}">
              <a16:creationId xmlns:a16="http://schemas.microsoft.com/office/drawing/2014/main" xmlns="" id="{BC97B7BD-6929-477D-8D20-7F42CFE8CD6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1" name="TextBox 530">
          <a:extLst>
            <a:ext uri="{FF2B5EF4-FFF2-40B4-BE49-F238E27FC236}">
              <a16:creationId xmlns:a16="http://schemas.microsoft.com/office/drawing/2014/main" xmlns="" id="{79824B8C-0F00-4BCC-AE60-3D37E90E0A2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2" name="TextBox 531">
          <a:extLst>
            <a:ext uri="{FF2B5EF4-FFF2-40B4-BE49-F238E27FC236}">
              <a16:creationId xmlns:a16="http://schemas.microsoft.com/office/drawing/2014/main" xmlns="" id="{257323CD-5160-4C97-9CAA-A0F3AF58087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3" name="TextBox 532">
          <a:extLst>
            <a:ext uri="{FF2B5EF4-FFF2-40B4-BE49-F238E27FC236}">
              <a16:creationId xmlns:a16="http://schemas.microsoft.com/office/drawing/2014/main" xmlns="" id="{630D2394-6B21-4F46-A526-89D2D4A4669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4" name="TextBox 533">
          <a:extLst>
            <a:ext uri="{FF2B5EF4-FFF2-40B4-BE49-F238E27FC236}">
              <a16:creationId xmlns:a16="http://schemas.microsoft.com/office/drawing/2014/main" xmlns="" id="{7939ED0D-46B5-4994-85E1-D2FBC6AB622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5" name="TextBox 534">
          <a:extLst>
            <a:ext uri="{FF2B5EF4-FFF2-40B4-BE49-F238E27FC236}">
              <a16:creationId xmlns:a16="http://schemas.microsoft.com/office/drawing/2014/main" xmlns="" id="{8D5A5A65-0472-44D6-9499-9D1B4D7A4EB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6" name="TextBox 535">
          <a:extLst>
            <a:ext uri="{FF2B5EF4-FFF2-40B4-BE49-F238E27FC236}">
              <a16:creationId xmlns:a16="http://schemas.microsoft.com/office/drawing/2014/main" xmlns="" id="{65FB9AB7-C180-4A4E-BFC3-F9A8BC010CA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7" name="TextBox 536">
          <a:extLst>
            <a:ext uri="{FF2B5EF4-FFF2-40B4-BE49-F238E27FC236}">
              <a16:creationId xmlns:a16="http://schemas.microsoft.com/office/drawing/2014/main" xmlns="" id="{035A9609-BFF3-4F50-ACAA-51B03936C5E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8" name="TextBox 537">
          <a:extLst>
            <a:ext uri="{FF2B5EF4-FFF2-40B4-BE49-F238E27FC236}">
              <a16:creationId xmlns:a16="http://schemas.microsoft.com/office/drawing/2014/main" xmlns="" id="{9B554156-4BAD-4628-8458-92809D73515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39" name="TextBox 538">
          <a:extLst>
            <a:ext uri="{FF2B5EF4-FFF2-40B4-BE49-F238E27FC236}">
              <a16:creationId xmlns:a16="http://schemas.microsoft.com/office/drawing/2014/main" xmlns="" id="{6DA6C43F-C69C-4E79-ABDC-7F6A10CF8D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0" name="TextBox 539">
          <a:extLst>
            <a:ext uri="{FF2B5EF4-FFF2-40B4-BE49-F238E27FC236}">
              <a16:creationId xmlns:a16="http://schemas.microsoft.com/office/drawing/2014/main" xmlns="" id="{73DF2CEA-3B90-4782-BE46-A404297741B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1" name="TextBox 540">
          <a:extLst>
            <a:ext uri="{FF2B5EF4-FFF2-40B4-BE49-F238E27FC236}">
              <a16:creationId xmlns:a16="http://schemas.microsoft.com/office/drawing/2014/main" xmlns="" id="{4C2A5650-86DA-4846-915C-B1057D71E8F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2" name="TextBox 541">
          <a:extLst>
            <a:ext uri="{FF2B5EF4-FFF2-40B4-BE49-F238E27FC236}">
              <a16:creationId xmlns:a16="http://schemas.microsoft.com/office/drawing/2014/main" xmlns="" id="{1773CB2C-29AB-47EA-B841-B90F9A69BB0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3" name="TextBox 542">
          <a:extLst>
            <a:ext uri="{FF2B5EF4-FFF2-40B4-BE49-F238E27FC236}">
              <a16:creationId xmlns:a16="http://schemas.microsoft.com/office/drawing/2014/main" xmlns="" id="{257712CF-7E87-4061-95A6-9A5DB314833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4" name="TextBox 543">
          <a:extLst>
            <a:ext uri="{FF2B5EF4-FFF2-40B4-BE49-F238E27FC236}">
              <a16:creationId xmlns:a16="http://schemas.microsoft.com/office/drawing/2014/main" xmlns="" id="{C6E10989-2C4C-4560-B954-7D26DAA38CD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5" name="TextBox 544">
          <a:extLst>
            <a:ext uri="{FF2B5EF4-FFF2-40B4-BE49-F238E27FC236}">
              <a16:creationId xmlns:a16="http://schemas.microsoft.com/office/drawing/2014/main" xmlns="" id="{51E858CB-F155-4B55-BCAE-6CFF7330FA2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6" name="TextBox 545">
          <a:extLst>
            <a:ext uri="{FF2B5EF4-FFF2-40B4-BE49-F238E27FC236}">
              <a16:creationId xmlns:a16="http://schemas.microsoft.com/office/drawing/2014/main" xmlns="" id="{DE8E370D-55B6-4457-9CBB-A74E165465D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7" name="TextBox 546">
          <a:extLst>
            <a:ext uri="{FF2B5EF4-FFF2-40B4-BE49-F238E27FC236}">
              <a16:creationId xmlns:a16="http://schemas.microsoft.com/office/drawing/2014/main" xmlns="" id="{2C2147E4-E9E0-4927-B6D9-D3427949EB2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8" name="TextBox 547">
          <a:extLst>
            <a:ext uri="{FF2B5EF4-FFF2-40B4-BE49-F238E27FC236}">
              <a16:creationId xmlns:a16="http://schemas.microsoft.com/office/drawing/2014/main" xmlns="" id="{288418D6-D979-4851-95F5-5A617D02512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49" name="TextBox 548">
          <a:extLst>
            <a:ext uri="{FF2B5EF4-FFF2-40B4-BE49-F238E27FC236}">
              <a16:creationId xmlns:a16="http://schemas.microsoft.com/office/drawing/2014/main" xmlns="" id="{8F82F3A0-5649-4E49-B4D7-049E635E34D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0" name="TextBox 549">
          <a:extLst>
            <a:ext uri="{FF2B5EF4-FFF2-40B4-BE49-F238E27FC236}">
              <a16:creationId xmlns:a16="http://schemas.microsoft.com/office/drawing/2014/main" xmlns="" id="{C1FD6F10-F8BB-4FB3-964A-135E5AE1888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1" name="TextBox 550">
          <a:extLst>
            <a:ext uri="{FF2B5EF4-FFF2-40B4-BE49-F238E27FC236}">
              <a16:creationId xmlns:a16="http://schemas.microsoft.com/office/drawing/2014/main" xmlns="" id="{3733E265-ED8F-466A-8E05-11338927C4F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2" name="TextBox 551">
          <a:extLst>
            <a:ext uri="{FF2B5EF4-FFF2-40B4-BE49-F238E27FC236}">
              <a16:creationId xmlns:a16="http://schemas.microsoft.com/office/drawing/2014/main" xmlns="" id="{FF27E257-B1BB-438F-81D1-A30E9E1371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3" name="TextBox 552">
          <a:extLst>
            <a:ext uri="{FF2B5EF4-FFF2-40B4-BE49-F238E27FC236}">
              <a16:creationId xmlns:a16="http://schemas.microsoft.com/office/drawing/2014/main" xmlns="" id="{45662BA3-D05D-4DF2-AC86-DD44A7C78E9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4" name="TextBox 553">
          <a:extLst>
            <a:ext uri="{FF2B5EF4-FFF2-40B4-BE49-F238E27FC236}">
              <a16:creationId xmlns:a16="http://schemas.microsoft.com/office/drawing/2014/main" xmlns="" id="{234AEF26-A76D-4FFB-8E7D-0585FF4BB97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5" name="TextBox 554">
          <a:extLst>
            <a:ext uri="{FF2B5EF4-FFF2-40B4-BE49-F238E27FC236}">
              <a16:creationId xmlns:a16="http://schemas.microsoft.com/office/drawing/2014/main" xmlns="" id="{9584DBDE-8429-4787-864F-6AF2DD0F6C5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6" name="TextBox 555">
          <a:extLst>
            <a:ext uri="{FF2B5EF4-FFF2-40B4-BE49-F238E27FC236}">
              <a16:creationId xmlns:a16="http://schemas.microsoft.com/office/drawing/2014/main" xmlns="" id="{47AAD2CF-F542-4E53-9E1D-1E306036B37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7" name="TextBox 556">
          <a:extLst>
            <a:ext uri="{FF2B5EF4-FFF2-40B4-BE49-F238E27FC236}">
              <a16:creationId xmlns:a16="http://schemas.microsoft.com/office/drawing/2014/main" xmlns="" id="{3FD1FC76-9B9F-4AF6-AE64-5BD0E6ADC93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8" name="TextBox 557">
          <a:extLst>
            <a:ext uri="{FF2B5EF4-FFF2-40B4-BE49-F238E27FC236}">
              <a16:creationId xmlns:a16="http://schemas.microsoft.com/office/drawing/2014/main" xmlns="" id="{F8A979A2-6991-4C09-97B9-C202BCFA4BF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59" name="TextBox 558">
          <a:extLst>
            <a:ext uri="{FF2B5EF4-FFF2-40B4-BE49-F238E27FC236}">
              <a16:creationId xmlns:a16="http://schemas.microsoft.com/office/drawing/2014/main" xmlns="" id="{5D6463DD-82BB-4894-8A28-CC46A3703AE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0" name="TextBox 559">
          <a:extLst>
            <a:ext uri="{FF2B5EF4-FFF2-40B4-BE49-F238E27FC236}">
              <a16:creationId xmlns:a16="http://schemas.microsoft.com/office/drawing/2014/main" xmlns="" id="{F2CC4CE7-E536-4B9A-9BCE-FFEE7EE9604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1" name="TextBox 560">
          <a:extLst>
            <a:ext uri="{FF2B5EF4-FFF2-40B4-BE49-F238E27FC236}">
              <a16:creationId xmlns:a16="http://schemas.microsoft.com/office/drawing/2014/main" xmlns="" id="{694C09A5-EB17-4DFC-8FE9-AF1092E23F6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2" name="TextBox 561">
          <a:extLst>
            <a:ext uri="{FF2B5EF4-FFF2-40B4-BE49-F238E27FC236}">
              <a16:creationId xmlns:a16="http://schemas.microsoft.com/office/drawing/2014/main" xmlns="" id="{FA734CCF-CE4E-4B22-805F-748105157AB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3" name="TextBox 562">
          <a:extLst>
            <a:ext uri="{FF2B5EF4-FFF2-40B4-BE49-F238E27FC236}">
              <a16:creationId xmlns:a16="http://schemas.microsoft.com/office/drawing/2014/main" xmlns="" id="{A40EC2F3-CA0E-4BFF-A273-600DB2D6B52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4" name="TextBox 563">
          <a:extLst>
            <a:ext uri="{FF2B5EF4-FFF2-40B4-BE49-F238E27FC236}">
              <a16:creationId xmlns:a16="http://schemas.microsoft.com/office/drawing/2014/main" xmlns="" id="{232C249A-2477-460D-A9CA-9E42BBCC04F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5" name="TextBox 564">
          <a:extLst>
            <a:ext uri="{FF2B5EF4-FFF2-40B4-BE49-F238E27FC236}">
              <a16:creationId xmlns:a16="http://schemas.microsoft.com/office/drawing/2014/main" xmlns="" id="{C9DE54BE-6CCF-4C0F-94D3-99F81678079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6" name="TextBox 565">
          <a:extLst>
            <a:ext uri="{FF2B5EF4-FFF2-40B4-BE49-F238E27FC236}">
              <a16:creationId xmlns:a16="http://schemas.microsoft.com/office/drawing/2014/main" xmlns="" id="{CCAB07F7-206A-488A-A47F-E50B122DFF5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7" name="TextBox 566">
          <a:extLst>
            <a:ext uri="{FF2B5EF4-FFF2-40B4-BE49-F238E27FC236}">
              <a16:creationId xmlns:a16="http://schemas.microsoft.com/office/drawing/2014/main" xmlns="" id="{EF3E7EA5-32D3-41AE-B458-C7B880F979A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8" name="TextBox 567">
          <a:extLst>
            <a:ext uri="{FF2B5EF4-FFF2-40B4-BE49-F238E27FC236}">
              <a16:creationId xmlns:a16="http://schemas.microsoft.com/office/drawing/2014/main" xmlns="" id="{C815FB87-4E86-4C99-BAC5-0D8E02D72A2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69" name="TextBox 568">
          <a:extLst>
            <a:ext uri="{FF2B5EF4-FFF2-40B4-BE49-F238E27FC236}">
              <a16:creationId xmlns:a16="http://schemas.microsoft.com/office/drawing/2014/main" xmlns="" id="{24F2B85C-A33B-4C44-B4A1-7A7F5915A46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0" name="TextBox 569">
          <a:extLst>
            <a:ext uri="{FF2B5EF4-FFF2-40B4-BE49-F238E27FC236}">
              <a16:creationId xmlns:a16="http://schemas.microsoft.com/office/drawing/2014/main" xmlns="" id="{E5727136-AE25-4F19-AEA9-57BC4C1805F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1" name="TextBox 570">
          <a:extLst>
            <a:ext uri="{FF2B5EF4-FFF2-40B4-BE49-F238E27FC236}">
              <a16:creationId xmlns:a16="http://schemas.microsoft.com/office/drawing/2014/main" xmlns="" id="{01E099CB-8E22-48AD-94F4-C4FBD9EF770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2" name="TextBox 571">
          <a:extLst>
            <a:ext uri="{FF2B5EF4-FFF2-40B4-BE49-F238E27FC236}">
              <a16:creationId xmlns:a16="http://schemas.microsoft.com/office/drawing/2014/main" xmlns="" id="{A6FE81BF-086B-4922-B646-38727109DD9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3" name="TextBox 572">
          <a:extLst>
            <a:ext uri="{FF2B5EF4-FFF2-40B4-BE49-F238E27FC236}">
              <a16:creationId xmlns:a16="http://schemas.microsoft.com/office/drawing/2014/main" xmlns="" id="{C91B9856-8FF6-4094-8789-7B778ECD258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4" name="TextBox 573">
          <a:extLst>
            <a:ext uri="{FF2B5EF4-FFF2-40B4-BE49-F238E27FC236}">
              <a16:creationId xmlns:a16="http://schemas.microsoft.com/office/drawing/2014/main" xmlns="" id="{23964F82-C7BC-41F7-84E2-8EC93601E87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5" name="TextBox 574">
          <a:extLst>
            <a:ext uri="{FF2B5EF4-FFF2-40B4-BE49-F238E27FC236}">
              <a16:creationId xmlns:a16="http://schemas.microsoft.com/office/drawing/2014/main" xmlns="" id="{121B2BA7-B696-42E2-88E2-8A959A8A1FD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6" name="TextBox 575">
          <a:extLst>
            <a:ext uri="{FF2B5EF4-FFF2-40B4-BE49-F238E27FC236}">
              <a16:creationId xmlns:a16="http://schemas.microsoft.com/office/drawing/2014/main" xmlns="" id="{75BB49E4-D145-4F9F-B69B-00DF8D97029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7" name="TextBox 576">
          <a:extLst>
            <a:ext uri="{FF2B5EF4-FFF2-40B4-BE49-F238E27FC236}">
              <a16:creationId xmlns:a16="http://schemas.microsoft.com/office/drawing/2014/main" xmlns="" id="{3F2CFECB-1200-45F9-A19F-0F53FE8A770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8" name="TextBox 577">
          <a:extLst>
            <a:ext uri="{FF2B5EF4-FFF2-40B4-BE49-F238E27FC236}">
              <a16:creationId xmlns:a16="http://schemas.microsoft.com/office/drawing/2014/main" xmlns="" id="{7E452099-42F9-462C-AB9E-54F40EE6407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79" name="TextBox 578">
          <a:extLst>
            <a:ext uri="{FF2B5EF4-FFF2-40B4-BE49-F238E27FC236}">
              <a16:creationId xmlns:a16="http://schemas.microsoft.com/office/drawing/2014/main" xmlns="" id="{BBA2A89A-FD88-49CF-A01B-86D34A900B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0" name="TextBox 579">
          <a:extLst>
            <a:ext uri="{FF2B5EF4-FFF2-40B4-BE49-F238E27FC236}">
              <a16:creationId xmlns:a16="http://schemas.microsoft.com/office/drawing/2014/main" xmlns="" id="{370B3A86-355F-48A9-BEA3-00E09A41F9C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1" name="TextBox 580">
          <a:extLst>
            <a:ext uri="{FF2B5EF4-FFF2-40B4-BE49-F238E27FC236}">
              <a16:creationId xmlns:a16="http://schemas.microsoft.com/office/drawing/2014/main" xmlns="" id="{D7506363-5E86-48E0-AA44-B854B3DA908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2" name="TextBox 581">
          <a:extLst>
            <a:ext uri="{FF2B5EF4-FFF2-40B4-BE49-F238E27FC236}">
              <a16:creationId xmlns:a16="http://schemas.microsoft.com/office/drawing/2014/main" xmlns="" id="{D16A19B9-C50E-44AC-9DA9-9E831FAAFAC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3" name="TextBox 582">
          <a:extLst>
            <a:ext uri="{FF2B5EF4-FFF2-40B4-BE49-F238E27FC236}">
              <a16:creationId xmlns:a16="http://schemas.microsoft.com/office/drawing/2014/main" xmlns="" id="{CFD73241-3034-44B9-A543-7ADEB3B422C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4" name="TextBox 583">
          <a:extLst>
            <a:ext uri="{FF2B5EF4-FFF2-40B4-BE49-F238E27FC236}">
              <a16:creationId xmlns:a16="http://schemas.microsoft.com/office/drawing/2014/main" xmlns="" id="{8E82CCD7-5391-4DED-B5FE-899E6A51021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5" name="TextBox 584">
          <a:extLst>
            <a:ext uri="{FF2B5EF4-FFF2-40B4-BE49-F238E27FC236}">
              <a16:creationId xmlns:a16="http://schemas.microsoft.com/office/drawing/2014/main" xmlns="" id="{EB0A2DB9-7969-475D-887E-7323CC930D9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6" name="TextBox 585">
          <a:extLst>
            <a:ext uri="{FF2B5EF4-FFF2-40B4-BE49-F238E27FC236}">
              <a16:creationId xmlns:a16="http://schemas.microsoft.com/office/drawing/2014/main" xmlns="" id="{D4BFA673-A667-4C64-BBA6-516F8E25F8B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7" name="TextBox 586">
          <a:extLst>
            <a:ext uri="{FF2B5EF4-FFF2-40B4-BE49-F238E27FC236}">
              <a16:creationId xmlns:a16="http://schemas.microsoft.com/office/drawing/2014/main" xmlns="" id="{B29FCB6B-75E7-499F-A3A0-2D93783D68F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8" name="TextBox 587">
          <a:extLst>
            <a:ext uri="{FF2B5EF4-FFF2-40B4-BE49-F238E27FC236}">
              <a16:creationId xmlns:a16="http://schemas.microsoft.com/office/drawing/2014/main" xmlns="" id="{DBA03A16-B6AC-4AFE-8634-0C88CA307C1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89" name="TextBox 588">
          <a:extLst>
            <a:ext uri="{FF2B5EF4-FFF2-40B4-BE49-F238E27FC236}">
              <a16:creationId xmlns:a16="http://schemas.microsoft.com/office/drawing/2014/main" xmlns="" id="{88BBADBA-9175-4817-BC06-EDB02156BF5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0" name="TextBox 589">
          <a:extLst>
            <a:ext uri="{FF2B5EF4-FFF2-40B4-BE49-F238E27FC236}">
              <a16:creationId xmlns:a16="http://schemas.microsoft.com/office/drawing/2014/main" xmlns="" id="{91FA62ED-CF70-4A65-835B-C9D8EBD99FC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1" name="TextBox 590">
          <a:extLst>
            <a:ext uri="{FF2B5EF4-FFF2-40B4-BE49-F238E27FC236}">
              <a16:creationId xmlns:a16="http://schemas.microsoft.com/office/drawing/2014/main" xmlns="" id="{5CAE33FA-2A7C-478E-BE27-B08419AD209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2" name="TextBox 591">
          <a:extLst>
            <a:ext uri="{FF2B5EF4-FFF2-40B4-BE49-F238E27FC236}">
              <a16:creationId xmlns:a16="http://schemas.microsoft.com/office/drawing/2014/main" xmlns="" id="{A5EB1455-830C-496E-BCA9-F0E451572F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3" name="TextBox 592">
          <a:extLst>
            <a:ext uri="{FF2B5EF4-FFF2-40B4-BE49-F238E27FC236}">
              <a16:creationId xmlns:a16="http://schemas.microsoft.com/office/drawing/2014/main" xmlns="" id="{11B1E6CA-103E-47EC-8668-A1C51384CD0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4" name="TextBox 593">
          <a:extLst>
            <a:ext uri="{FF2B5EF4-FFF2-40B4-BE49-F238E27FC236}">
              <a16:creationId xmlns:a16="http://schemas.microsoft.com/office/drawing/2014/main" xmlns="" id="{B4F33375-C9B2-40A7-8B28-CD53CBD2F40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5" name="TextBox 594">
          <a:extLst>
            <a:ext uri="{FF2B5EF4-FFF2-40B4-BE49-F238E27FC236}">
              <a16:creationId xmlns:a16="http://schemas.microsoft.com/office/drawing/2014/main" xmlns="" id="{6086412B-917A-442F-9D72-7BB6B5F0243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6" name="TextBox 595">
          <a:extLst>
            <a:ext uri="{FF2B5EF4-FFF2-40B4-BE49-F238E27FC236}">
              <a16:creationId xmlns:a16="http://schemas.microsoft.com/office/drawing/2014/main" xmlns="" id="{BFB77C49-D9E3-4BCA-9456-15CA9EF8254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7" name="TextBox 596">
          <a:extLst>
            <a:ext uri="{FF2B5EF4-FFF2-40B4-BE49-F238E27FC236}">
              <a16:creationId xmlns:a16="http://schemas.microsoft.com/office/drawing/2014/main" xmlns="" id="{6077A574-D923-413D-9711-9866E747F75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8" name="TextBox 597">
          <a:extLst>
            <a:ext uri="{FF2B5EF4-FFF2-40B4-BE49-F238E27FC236}">
              <a16:creationId xmlns:a16="http://schemas.microsoft.com/office/drawing/2014/main" xmlns="" id="{8D5D41D7-EFC5-4154-9BC8-CDBBDE9AE4E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599" name="TextBox 598">
          <a:extLst>
            <a:ext uri="{FF2B5EF4-FFF2-40B4-BE49-F238E27FC236}">
              <a16:creationId xmlns:a16="http://schemas.microsoft.com/office/drawing/2014/main" xmlns="" id="{302D9172-6553-4493-9EAE-7FE8150A1EC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0" name="TextBox 599">
          <a:extLst>
            <a:ext uri="{FF2B5EF4-FFF2-40B4-BE49-F238E27FC236}">
              <a16:creationId xmlns:a16="http://schemas.microsoft.com/office/drawing/2014/main" xmlns="" id="{B6A166B0-64C3-476E-B9EE-C721778F914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1" name="TextBox 600">
          <a:extLst>
            <a:ext uri="{FF2B5EF4-FFF2-40B4-BE49-F238E27FC236}">
              <a16:creationId xmlns:a16="http://schemas.microsoft.com/office/drawing/2014/main" xmlns="" id="{C96589F4-4201-4388-96BF-43251B5EFD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2" name="TextBox 601">
          <a:extLst>
            <a:ext uri="{FF2B5EF4-FFF2-40B4-BE49-F238E27FC236}">
              <a16:creationId xmlns:a16="http://schemas.microsoft.com/office/drawing/2014/main" xmlns="" id="{702545A4-F0F4-4F16-A2C5-32011C07A91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3" name="TextBox 602">
          <a:extLst>
            <a:ext uri="{FF2B5EF4-FFF2-40B4-BE49-F238E27FC236}">
              <a16:creationId xmlns:a16="http://schemas.microsoft.com/office/drawing/2014/main" xmlns="" id="{E2BB2506-FED8-4DC3-98A3-10FA448AE91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4" name="TextBox 603">
          <a:extLst>
            <a:ext uri="{FF2B5EF4-FFF2-40B4-BE49-F238E27FC236}">
              <a16:creationId xmlns:a16="http://schemas.microsoft.com/office/drawing/2014/main" xmlns="" id="{0C2D300C-2BF5-4732-93E0-1FC44065809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5" name="TextBox 604">
          <a:extLst>
            <a:ext uri="{FF2B5EF4-FFF2-40B4-BE49-F238E27FC236}">
              <a16:creationId xmlns:a16="http://schemas.microsoft.com/office/drawing/2014/main" xmlns="" id="{3BE28146-558B-4934-829C-03C70921F6C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6" name="TextBox 605">
          <a:extLst>
            <a:ext uri="{FF2B5EF4-FFF2-40B4-BE49-F238E27FC236}">
              <a16:creationId xmlns:a16="http://schemas.microsoft.com/office/drawing/2014/main" xmlns="" id="{B8C91ADF-3B95-4A81-957C-1FD561F5C95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7" name="TextBox 606">
          <a:extLst>
            <a:ext uri="{FF2B5EF4-FFF2-40B4-BE49-F238E27FC236}">
              <a16:creationId xmlns:a16="http://schemas.microsoft.com/office/drawing/2014/main" xmlns="" id="{D24D7780-8D78-491B-8A90-AF0E5098BF5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8" name="TextBox 607">
          <a:extLst>
            <a:ext uri="{FF2B5EF4-FFF2-40B4-BE49-F238E27FC236}">
              <a16:creationId xmlns:a16="http://schemas.microsoft.com/office/drawing/2014/main" xmlns="" id="{0FF5D789-FAB9-4FB6-B979-A040AA3EC21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09" name="TextBox 608">
          <a:extLst>
            <a:ext uri="{FF2B5EF4-FFF2-40B4-BE49-F238E27FC236}">
              <a16:creationId xmlns:a16="http://schemas.microsoft.com/office/drawing/2014/main" xmlns="" id="{B2C95873-3B35-47BA-8313-D4E1F8B6986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0" name="TextBox 609">
          <a:extLst>
            <a:ext uri="{FF2B5EF4-FFF2-40B4-BE49-F238E27FC236}">
              <a16:creationId xmlns:a16="http://schemas.microsoft.com/office/drawing/2014/main" xmlns="" id="{363DCFBE-ED40-4112-B3FA-CF09A556B06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1" name="TextBox 610">
          <a:extLst>
            <a:ext uri="{FF2B5EF4-FFF2-40B4-BE49-F238E27FC236}">
              <a16:creationId xmlns:a16="http://schemas.microsoft.com/office/drawing/2014/main" xmlns="" id="{0873FDC4-9B6C-4292-9670-CF48E3A0171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2" name="TextBox 611">
          <a:extLst>
            <a:ext uri="{FF2B5EF4-FFF2-40B4-BE49-F238E27FC236}">
              <a16:creationId xmlns:a16="http://schemas.microsoft.com/office/drawing/2014/main" xmlns="" id="{846FD3B7-A301-40D8-ACAE-2E61455883D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3" name="TextBox 612">
          <a:extLst>
            <a:ext uri="{FF2B5EF4-FFF2-40B4-BE49-F238E27FC236}">
              <a16:creationId xmlns:a16="http://schemas.microsoft.com/office/drawing/2014/main" xmlns="" id="{58147915-271B-49FB-9E59-B456859F400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4" name="TextBox 613">
          <a:extLst>
            <a:ext uri="{FF2B5EF4-FFF2-40B4-BE49-F238E27FC236}">
              <a16:creationId xmlns:a16="http://schemas.microsoft.com/office/drawing/2014/main" xmlns="" id="{B9F99D90-D869-4536-BB4D-E25DF313E71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5" name="TextBox 614">
          <a:extLst>
            <a:ext uri="{FF2B5EF4-FFF2-40B4-BE49-F238E27FC236}">
              <a16:creationId xmlns:a16="http://schemas.microsoft.com/office/drawing/2014/main" xmlns="" id="{F0CD01D1-61AB-4C1D-8B55-01BE0991919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6" name="TextBox 615">
          <a:extLst>
            <a:ext uri="{FF2B5EF4-FFF2-40B4-BE49-F238E27FC236}">
              <a16:creationId xmlns:a16="http://schemas.microsoft.com/office/drawing/2014/main" xmlns="" id="{CDDE49AB-C1FE-4B5C-806E-CB243B355FD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7" name="TextBox 616">
          <a:extLst>
            <a:ext uri="{FF2B5EF4-FFF2-40B4-BE49-F238E27FC236}">
              <a16:creationId xmlns:a16="http://schemas.microsoft.com/office/drawing/2014/main" xmlns="" id="{8B6A0412-1E54-422E-B716-09712941869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8" name="TextBox 617">
          <a:extLst>
            <a:ext uri="{FF2B5EF4-FFF2-40B4-BE49-F238E27FC236}">
              <a16:creationId xmlns:a16="http://schemas.microsoft.com/office/drawing/2014/main" xmlns="" id="{4905C8B7-59E9-43AE-8BBA-59EC98F1A5C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19" name="TextBox 618">
          <a:extLst>
            <a:ext uri="{FF2B5EF4-FFF2-40B4-BE49-F238E27FC236}">
              <a16:creationId xmlns:a16="http://schemas.microsoft.com/office/drawing/2014/main" xmlns="" id="{DF42E281-8732-4B25-8F79-D4D44048CBA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0" name="TextBox 619">
          <a:extLst>
            <a:ext uri="{FF2B5EF4-FFF2-40B4-BE49-F238E27FC236}">
              <a16:creationId xmlns:a16="http://schemas.microsoft.com/office/drawing/2014/main" xmlns="" id="{BA6994A5-CFCF-4C0A-9A48-727F2E91D07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1" name="TextBox 620">
          <a:extLst>
            <a:ext uri="{FF2B5EF4-FFF2-40B4-BE49-F238E27FC236}">
              <a16:creationId xmlns:a16="http://schemas.microsoft.com/office/drawing/2014/main" xmlns="" id="{83734103-0A14-47BA-B1EF-C53C6A0F82A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2" name="TextBox 621">
          <a:extLst>
            <a:ext uri="{FF2B5EF4-FFF2-40B4-BE49-F238E27FC236}">
              <a16:creationId xmlns:a16="http://schemas.microsoft.com/office/drawing/2014/main" xmlns="" id="{7549B404-30B2-4A1D-A767-4C9A0106E3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3" name="TextBox 622">
          <a:extLst>
            <a:ext uri="{FF2B5EF4-FFF2-40B4-BE49-F238E27FC236}">
              <a16:creationId xmlns:a16="http://schemas.microsoft.com/office/drawing/2014/main" xmlns="" id="{06C3BE27-1937-4E0D-ADB0-71ADD8F97E4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4" name="TextBox 623">
          <a:extLst>
            <a:ext uri="{FF2B5EF4-FFF2-40B4-BE49-F238E27FC236}">
              <a16:creationId xmlns:a16="http://schemas.microsoft.com/office/drawing/2014/main" xmlns="" id="{B02AABF5-DD7E-4995-9EA5-CEFEA847C22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5" name="TextBox 624">
          <a:extLst>
            <a:ext uri="{FF2B5EF4-FFF2-40B4-BE49-F238E27FC236}">
              <a16:creationId xmlns:a16="http://schemas.microsoft.com/office/drawing/2014/main" xmlns="" id="{F2CCFE2C-59E0-4D00-A375-066FB7216B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6" name="TextBox 625">
          <a:extLst>
            <a:ext uri="{FF2B5EF4-FFF2-40B4-BE49-F238E27FC236}">
              <a16:creationId xmlns:a16="http://schemas.microsoft.com/office/drawing/2014/main" xmlns="" id="{2540303E-024D-45C5-9EC2-8915EF2D73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7" name="TextBox 626">
          <a:extLst>
            <a:ext uri="{FF2B5EF4-FFF2-40B4-BE49-F238E27FC236}">
              <a16:creationId xmlns:a16="http://schemas.microsoft.com/office/drawing/2014/main" xmlns="" id="{1EEFB6C1-B60C-47FA-AF30-B61CBEADBAE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8" name="TextBox 627">
          <a:extLst>
            <a:ext uri="{FF2B5EF4-FFF2-40B4-BE49-F238E27FC236}">
              <a16:creationId xmlns:a16="http://schemas.microsoft.com/office/drawing/2014/main" xmlns="" id="{9923E0B7-22AB-49E6-ACF7-B941B644D9D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29" name="TextBox 628">
          <a:extLst>
            <a:ext uri="{FF2B5EF4-FFF2-40B4-BE49-F238E27FC236}">
              <a16:creationId xmlns:a16="http://schemas.microsoft.com/office/drawing/2014/main" xmlns="" id="{CF65B434-7B49-44AC-92A5-7E3DC55B4B7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0" name="TextBox 629">
          <a:extLst>
            <a:ext uri="{FF2B5EF4-FFF2-40B4-BE49-F238E27FC236}">
              <a16:creationId xmlns:a16="http://schemas.microsoft.com/office/drawing/2014/main" xmlns="" id="{0919E095-6A87-4771-BD18-E74B02B8F69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1" name="TextBox 630">
          <a:extLst>
            <a:ext uri="{FF2B5EF4-FFF2-40B4-BE49-F238E27FC236}">
              <a16:creationId xmlns:a16="http://schemas.microsoft.com/office/drawing/2014/main" xmlns="" id="{CB613911-A039-45D0-9954-5308ADDB6D8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2" name="TextBox 631">
          <a:extLst>
            <a:ext uri="{FF2B5EF4-FFF2-40B4-BE49-F238E27FC236}">
              <a16:creationId xmlns:a16="http://schemas.microsoft.com/office/drawing/2014/main" xmlns="" id="{9FA0F2A5-5A14-4D28-9CDE-5BE910C5BCF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3" name="TextBox 632">
          <a:extLst>
            <a:ext uri="{FF2B5EF4-FFF2-40B4-BE49-F238E27FC236}">
              <a16:creationId xmlns:a16="http://schemas.microsoft.com/office/drawing/2014/main" xmlns="" id="{1FAD26F5-B7F8-4101-BE2F-5E28802FBA6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4" name="TextBox 633">
          <a:extLst>
            <a:ext uri="{FF2B5EF4-FFF2-40B4-BE49-F238E27FC236}">
              <a16:creationId xmlns:a16="http://schemas.microsoft.com/office/drawing/2014/main" xmlns="" id="{D1851287-5F3C-40DC-B9AC-5100F9BDEF0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5" name="TextBox 634">
          <a:extLst>
            <a:ext uri="{FF2B5EF4-FFF2-40B4-BE49-F238E27FC236}">
              <a16:creationId xmlns:a16="http://schemas.microsoft.com/office/drawing/2014/main" xmlns="" id="{927B6683-65DA-4B00-8B08-B0CB3C5C4C3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6" name="TextBox 635">
          <a:extLst>
            <a:ext uri="{FF2B5EF4-FFF2-40B4-BE49-F238E27FC236}">
              <a16:creationId xmlns:a16="http://schemas.microsoft.com/office/drawing/2014/main" xmlns="" id="{8912D6A1-4588-47F3-8AF2-483E62E7924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7" name="TextBox 636">
          <a:extLst>
            <a:ext uri="{FF2B5EF4-FFF2-40B4-BE49-F238E27FC236}">
              <a16:creationId xmlns:a16="http://schemas.microsoft.com/office/drawing/2014/main" xmlns="" id="{7B421204-6F0F-44A6-B2D7-1BC014B2FAD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8" name="TextBox 637">
          <a:extLst>
            <a:ext uri="{FF2B5EF4-FFF2-40B4-BE49-F238E27FC236}">
              <a16:creationId xmlns:a16="http://schemas.microsoft.com/office/drawing/2014/main" xmlns="" id="{1DF723AE-6D16-44C1-9FB8-59BF162C2DC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39" name="TextBox 638">
          <a:extLst>
            <a:ext uri="{FF2B5EF4-FFF2-40B4-BE49-F238E27FC236}">
              <a16:creationId xmlns:a16="http://schemas.microsoft.com/office/drawing/2014/main" xmlns="" id="{2DC8C8A4-553A-4C4C-A9CD-5B976874785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0" name="TextBox 639">
          <a:extLst>
            <a:ext uri="{FF2B5EF4-FFF2-40B4-BE49-F238E27FC236}">
              <a16:creationId xmlns:a16="http://schemas.microsoft.com/office/drawing/2014/main" xmlns="" id="{31904460-46FD-48A5-ADBE-DE8186F2330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1" name="TextBox 640">
          <a:extLst>
            <a:ext uri="{FF2B5EF4-FFF2-40B4-BE49-F238E27FC236}">
              <a16:creationId xmlns:a16="http://schemas.microsoft.com/office/drawing/2014/main" xmlns="" id="{AC304A4E-F20B-4A22-B874-BD2412966A8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2" name="TextBox 641">
          <a:extLst>
            <a:ext uri="{FF2B5EF4-FFF2-40B4-BE49-F238E27FC236}">
              <a16:creationId xmlns:a16="http://schemas.microsoft.com/office/drawing/2014/main" xmlns="" id="{A776F1EC-D062-4B8D-BC61-27D0FD11396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3" name="TextBox 642">
          <a:extLst>
            <a:ext uri="{FF2B5EF4-FFF2-40B4-BE49-F238E27FC236}">
              <a16:creationId xmlns:a16="http://schemas.microsoft.com/office/drawing/2014/main" xmlns="" id="{092757F3-BC82-4FAC-AF1B-5B071B931D7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4" name="TextBox 643">
          <a:extLst>
            <a:ext uri="{FF2B5EF4-FFF2-40B4-BE49-F238E27FC236}">
              <a16:creationId xmlns:a16="http://schemas.microsoft.com/office/drawing/2014/main" xmlns="" id="{F0BD4A5D-C1FF-4105-AAB0-5308946D2C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5" name="TextBox 644">
          <a:extLst>
            <a:ext uri="{FF2B5EF4-FFF2-40B4-BE49-F238E27FC236}">
              <a16:creationId xmlns:a16="http://schemas.microsoft.com/office/drawing/2014/main" xmlns="" id="{75EC476E-30C0-4768-A55D-46A9DF3D014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6" name="TextBox 645">
          <a:extLst>
            <a:ext uri="{FF2B5EF4-FFF2-40B4-BE49-F238E27FC236}">
              <a16:creationId xmlns:a16="http://schemas.microsoft.com/office/drawing/2014/main" xmlns="" id="{3960A4E0-66F9-4198-83DB-3FCE9C5D469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7" name="TextBox 646">
          <a:extLst>
            <a:ext uri="{FF2B5EF4-FFF2-40B4-BE49-F238E27FC236}">
              <a16:creationId xmlns:a16="http://schemas.microsoft.com/office/drawing/2014/main" xmlns="" id="{3D809F7C-24AC-4B23-8295-AFB2C4367A8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8" name="TextBox 647">
          <a:extLst>
            <a:ext uri="{FF2B5EF4-FFF2-40B4-BE49-F238E27FC236}">
              <a16:creationId xmlns:a16="http://schemas.microsoft.com/office/drawing/2014/main" xmlns="" id="{85FEFADD-C19C-4F26-9E81-75EFEFCDF25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49" name="TextBox 648">
          <a:extLst>
            <a:ext uri="{FF2B5EF4-FFF2-40B4-BE49-F238E27FC236}">
              <a16:creationId xmlns:a16="http://schemas.microsoft.com/office/drawing/2014/main" xmlns="" id="{33F115FD-0A00-4780-8AA9-592E43EABA6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0" name="TextBox 649">
          <a:extLst>
            <a:ext uri="{FF2B5EF4-FFF2-40B4-BE49-F238E27FC236}">
              <a16:creationId xmlns:a16="http://schemas.microsoft.com/office/drawing/2014/main" xmlns="" id="{0EB25958-D47F-4696-8411-BE287B78D9E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1" name="TextBox 650">
          <a:extLst>
            <a:ext uri="{FF2B5EF4-FFF2-40B4-BE49-F238E27FC236}">
              <a16:creationId xmlns:a16="http://schemas.microsoft.com/office/drawing/2014/main" xmlns="" id="{4BC200A7-1FF5-40CC-A006-7AB08C575D3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2" name="TextBox 651">
          <a:extLst>
            <a:ext uri="{FF2B5EF4-FFF2-40B4-BE49-F238E27FC236}">
              <a16:creationId xmlns:a16="http://schemas.microsoft.com/office/drawing/2014/main" xmlns="" id="{59894CC7-0D5A-414E-8040-2647D909B60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3" name="TextBox 652">
          <a:extLst>
            <a:ext uri="{FF2B5EF4-FFF2-40B4-BE49-F238E27FC236}">
              <a16:creationId xmlns:a16="http://schemas.microsoft.com/office/drawing/2014/main" xmlns="" id="{9F2EFCB7-B92B-4FB3-A98E-2B6BCCA5C74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4" name="TextBox 653">
          <a:extLst>
            <a:ext uri="{FF2B5EF4-FFF2-40B4-BE49-F238E27FC236}">
              <a16:creationId xmlns:a16="http://schemas.microsoft.com/office/drawing/2014/main" xmlns="" id="{1D4B0602-85FC-460C-A109-C5F4B471673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5" name="TextBox 654">
          <a:extLst>
            <a:ext uri="{FF2B5EF4-FFF2-40B4-BE49-F238E27FC236}">
              <a16:creationId xmlns:a16="http://schemas.microsoft.com/office/drawing/2014/main" xmlns="" id="{4EB6C29D-8AA0-46FA-A54E-0F8922B36C4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6" name="TextBox 655">
          <a:extLst>
            <a:ext uri="{FF2B5EF4-FFF2-40B4-BE49-F238E27FC236}">
              <a16:creationId xmlns:a16="http://schemas.microsoft.com/office/drawing/2014/main" xmlns="" id="{137DDBD3-DBA5-4E38-975A-03EE4FB2FA5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7" name="TextBox 656">
          <a:extLst>
            <a:ext uri="{FF2B5EF4-FFF2-40B4-BE49-F238E27FC236}">
              <a16:creationId xmlns:a16="http://schemas.microsoft.com/office/drawing/2014/main" xmlns="" id="{F0AD4080-9F00-40E8-AD56-303AE3D19E4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8" name="TextBox 657">
          <a:extLst>
            <a:ext uri="{FF2B5EF4-FFF2-40B4-BE49-F238E27FC236}">
              <a16:creationId xmlns:a16="http://schemas.microsoft.com/office/drawing/2014/main" xmlns="" id="{D108C469-F917-4DBA-81E6-82C93AD180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59" name="TextBox 658">
          <a:extLst>
            <a:ext uri="{FF2B5EF4-FFF2-40B4-BE49-F238E27FC236}">
              <a16:creationId xmlns:a16="http://schemas.microsoft.com/office/drawing/2014/main" xmlns="" id="{1959AF7F-150D-4CB1-9692-60A607F94E1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0" name="TextBox 659">
          <a:extLst>
            <a:ext uri="{FF2B5EF4-FFF2-40B4-BE49-F238E27FC236}">
              <a16:creationId xmlns:a16="http://schemas.microsoft.com/office/drawing/2014/main" xmlns="" id="{EFBC4B62-7A25-430B-AE33-4938EAA9732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1" name="TextBox 660">
          <a:extLst>
            <a:ext uri="{FF2B5EF4-FFF2-40B4-BE49-F238E27FC236}">
              <a16:creationId xmlns:a16="http://schemas.microsoft.com/office/drawing/2014/main" xmlns="" id="{E0F53587-5718-41EE-89E1-FFC25A6FCC8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2" name="TextBox 661">
          <a:extLst>
            <a:ext uri="{FF2B5EF4-FFF2-40B4-BE49-F238E27FC236}">
              <a16:creationId xmlns:a16="http://schemas.microsoft.com/office/drawing/2014/main" xmlns="" id="{AC94EEAF-2B01-4961-862F-B70C4BE8900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3" name="TextBox 662">
          <a:extLst>
            <a:ext uri="{FF2B5EF4-FFF2-40B4-BE49-F238E27FC236}">
              <a16:creationId xmlns:a16="http://schemas.microsoft.com/office/drawing/2014/main" xmlns="" id="{C47E4AB7-6718-412E-81C8-C14D5B5D9B0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4" name="TextBox 663">
          <a:extLst>
            <a:ext uri="{FF2B5EF4-FFF2-40B4-BE49-F238E27FC236}">
              <a16:creationId xmlns:a16="http://schemas.microsoft.com/office/drawing/2014/main" xmlns="" id="{7E40EC41-C662-4C8E-A74F-DB4D8374006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5" name="TextBox 664">
          <a:extLst>
            <a:ext uri="{FF2B5EF4-FFF2-40B4-BE49-F238E27FC236}">
              <a16:creationId xmlns:a16="http://schemas.microsoft.com/office/drawing/2014/main" xmlns="" id="{3FECC90A-6068-47D3-9B1A-2220B4C18A8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6" name="TextBox 665">
          <a:extLst>
            <a:ext uri="{FF2B5EF4-FFF2-40B4-BE49-F238E27FC236}">
              <a16:creationId xmlns:a16="http://schemas.microsoft.com/office/drawing/2014/main" xmlns="" id="{46B66EDB-19E5-486F-BAA3-090819CBFA2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7" name="TextBox 666">
          <a:extLst>
            <a:ext uri="{FF2B5EF4-FFF2-40B4-BE49-F238E27FC236}">
              <a16:creationId xmlns:a16="http://schemas.microsoft.com/office/drawing/2014/main" xmlns="" id="{D4C9C12A-FF28-47A8-A405-F0C736C679E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8" name="TextBox 667">
          <a:extLst>
            <a:ext uri="{FF2B5EF4-FFF2-40B4-BE49-F238E27FC236}">
              <a16:creationId xmlns:a16="http://schemas.microsoft.com/office/drawing/2014/main" xmlns="" id="{EC43EF62-DEF6-47BE-B989-78FAC444E99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69" name="TextBox 668">
          <a:extLst>
            <a:ext uri="{FF2B5EF4-FFF2-40B4-BE49-F238E27FC236}">
              <a16:creationId xmlns:a16="http://schemas.microsoft.com/office/drawing/2014/main" xmlns="" id="{F491579B-B4AE-446A-89B7-9174B2DE1EB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0" name="TextBox 669">
          <a:extLst>
            <a:ext uri="{FF2B5EF4-FFF2-40B4-BE49-F238E27FC236}">
              <a16:creationId xmlns:a16="http://schemas.microsoft.com/office/drawing/2014/main" xmlns="" id="{6DBCA531-3B7B-4519-8160-5F37B051F87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1" name="TextBox 670">
          <a:extLst>
            <a:ext uri="{FF2B5EF4-FFF2-40B4-BE49-F238E27FC236}">
              <a16:creationId xmlns:a16="http://schemas.microsoft.com/office/drawing/2014/main" xmlns="" id="{30C9E6B3-2627-4080-9960-78C175AB444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2" name="TextBox 671">
          <a:extLst>
            <a:ext uri="{FF2B5EF4-FFF2-40B4-BE49-F238E27FC236}">
              <a16:creationId xmlns:a16="http://schemas.microsoft.com/office/drawing/2014/main" xmlns="" id="{C85F43C3-25E6-4A67-BEE5-C86B60BC9E6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3" name="TextBox 672">
          <a:extLst>
            <a:ext uri="{FF2B5EF4-FFF2-40B4-BE49-F238E27FC236}">
              <a16:creationId xmlns:a16="http://schemas.microsoft.com/office/drawing/2014/main" xmlns="" id="{3CB0D126-A1F5-4DA1-91D5-27EEF8F326E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4" name="TextBox 673">
          <a:extLst>
            <a:ext uri="{FF2B5EF4-FFF2-40B4-BE49-F238E27FC236}">
              <a16:creationId xmlns:a16="http://schemas.microsoft.com/office/drawing/2014/main" xmlns="" id="{E4BB6029-F2B9-4950-BFFF-019D35AC891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5" name="TextBox 674">
          <a:extLst>
            <a:ext uri="{FF2B5EF4-FFF2-40B4-BE49-F238E27FC236}">
              <a16:creationId xmlns:a16="http://schemas.microsoft.com/office/drawing/2014/main" xmlns="" id="{CC9FEF8B-03ED-4352-840F-2C1A5C6D5DE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6" name="TextBox 675">
          <a:extLst>
            <a:ext uri="{FF2B5EF4-FFF2-40B4-BE49-F238E27FC236}">
              <a16:creationId xmlns:a16="http://schemas.microsoft.com/office/drawing/2014/main" xmlns="" id="{15309D9F-1EB2-4B54-9BF6-DA94929E00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7" name="TextBox 676">
          <a:extLst>
            <a:ext uri="{FF2B5EF4-FFF2-40B4-BE49-F238E27FC236}">
              <a16:creationId xmlns:a16="http://schemas.microsoft.com/office/drawing/2014/main" xmlns="" id="{176914A5-ED3D-4720-B0A0-A98C67BB02F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8" name="TextBox 677">
          <a:extLst>
            <a:ext uri="{FF2B5EF4-FFF2-40B4-BE49-F238E27FC236}">
              <a16:creationId xmlns:a16="http://schemas.microsoft.com/office/drawing/2014/main" xmlns="" id="{E5AD7731-3F0F-4B6A-AEB5-D50C0728F60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79" name="TextBox 678">
          <a:extLst>
            <a:ext uri="{FF2B5EF4-FFF2-40B4-BE49-F238E27FC236}">
              <a16:creationId xmlns:a16="http://schemas.microsoft.com/office/drawing/2014/main" xmlns="" id="{B3B42B7B-4A3B-42B5-9B1A-72F77FE14A7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0" name="TextBox 679">
          <a:extLst>
            <a:ext uri="{FF2B5EF4-FFF2-40B4-BE49-F238E27FC236}">
              <a16:creationId xmlns:a16="http://schemas.microsoft.com/office/drawing/2014/main" xmlns="" id="{496F2EC0-266D-4213-A7C2-5831FB7835F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1" name="TextBox 680">
          <a:extLst>
            <a:ext uri="{FF2B5EF4-FFF2-40B4-BE49-F238E27FC236}">
              <a16:creationId xmlns:a16="http://schemas.microsoft.com/office/drawing/2014/main" xmlns="" id="{08FA1A9F-478E-427E-A643-79AA83F449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2" name="TextBox 681">
          <a:extLst>
            <a:ext uri="{FF2B5EF4-FFF2-40B4-BE49-F238E27FC236}">
              <a16:creationId xmlns:a16="http://schemas.microsoft.com/office/drawing/2014/main" xmlns="" id="{EBDE08E1-6DC7-4D29-B3A6-05B6127BF5F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3" name="TextBox 682">
          <a:extLst>
            <a:ext uri="{FF2B5EF4-FFF2-40B4-BE49-F238E27FC236}">
              <a16:creationId xmlns:a16="http://schemas.microsoft.com/office/drawing/2014/main" xmlns="" id="{BE137D5F-AC42-42B4-B9B3-A52DF4CB99E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4" name="TextBox 683">
          <a:extLst>
            <a:ext uri="{FF2B5EF4-FFF2-40B4-BE49-F238E27FC236}">
              <a16:creationId xmlns:a16="http://schemas.microsoft.com/office/drawing/2014/main" xmlns="" id="{F9402789-AFE8-407A-BA58-AAC7E69D95F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5" name="TextBox 684">
          <a:extLst>
            <a:ext uri="{FF2B5EF4-FFF2-40B4-BE49-F238E27FC236}">
              <a16:creationId xmlns:a16="http://schemas.microsoft.com/office/drawing/2014/main" xmlns="" id="{2C0A28BE-2AE2-4A5E-A022-2F22E6F3675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6" name="TextBox 685">
          <a:extLst>
            <a:ext uri="{FF2B5EF4-FFF2-40B4-BE49-F238E27FC236}">
              <a16:creationId xmlns:a16="http://schemas.microsoft.com/office/drawing/2014/main" xmlns="" id="{8C04EF12-AFBD-4870-AD85-D0A01E64111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7" name="TextBox 686">
          <a:extLst>
            <a:ext uri="{FF2B5EF4-FFF2-40B4-BE49-F238E27FC236}">
              <a16:creationId xmlns:a16="http://schemas.microsoft.com/office/drawing/2014/main" xmlns="" id="{1B29A6AC-2581-46BC-AD20-5588812C56B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8" name="TextBox 687">
          <a:extLst>
            <a:ext uri="{FF2B5EF4-FFF2-40B4-BE49-F238E27FC236}">
              <a16:creationId xmlns:a16="http://schemas.microsoft.com/office/drawing/2014/main" xmlns="" id="{1D28E86B-63E5-413E-B4BF-DC3577D36FA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89" name="TextBox 688">
          <a:extLst>
            <a:ext uri="{FF2B5EF4-FFF2-40B4-BE49-F238E27FC236}">
              <a16:creationId xmlns:a16="http://schemas.microsoft.com/office/drawing/2014/main" xmlns="" id="{1EDE09A6-4558-474F-9912-8A4DF1C6297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0" name="TextBox 689">
          <a:extLst>
            <a:ext uri="{FF2B5EF4-FFF2-40B4-BE49-F238E27FC236}">
              <a16:creationId xmlns:a16="http://schemas.microsoft.com/office/drawing/2014/main" xmlns="" id="{EB8F28E5-0B6D-4E0F-89CA-3859379841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1" name="TextBox 690">
          <a:extLst>
            <a:ext uri="{FF2B5EF4-FFF2-40B4-BE49-F238E27FC236}">
              <a16:creationId xmlns:a16="http://schemas.microsoft.com/office/drawing/2014/main" xmlns="" id="{0692F065-8CF5-4B45-8CAE-918FCD57B71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2" name="TextBox 691">
          <a:extLst>
            <a:ext uri="{FF2B5EF4-FFF2-40B4-BE49-F238E27FC236}">
              <a16:creationId xmlns:a16="http://schemas.microsoft.com/office/drawing/2014/main" xmlns="" id="{613FB194-129D-4959-8679-0A008326247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3" name="TextBox 692">
          <a:extLst>
            <a:ext uri="{FF2B5EF4-FFF2-40B4-BE49-F238E27FC236}">
              <a16:creationId xmlns:a16="http://schemas.microsoft.com/office/drawing/2014/main" xmlns="" id="{660E40A7-1589-49C6-A0CE-08E68860563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4" name="TextBox 693">
          <a:extLst>
            <a:ext uri="{FF2B5EF4-FFF2-40B4-BE49-F238E27FC236}">
              <a16:creationId xmlns:a16="http://schemas.microsoft.com/office/drawing/2014/main" xmlns="" id="{4C57B298-EAFA-4F5B-AEA5-340381D8E72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5" name="TextBox 694">
          <a:extLst>
            <a:ext uri="{FF2B5EF4-FFF2-40B4-BE49-F238E27FC236}">
              <a16:creationId xmlns:a16="http://schemas.microsoft.com/office/drawing/2014/main" xmlns="" id="{252C7FB1-9C59-4658-96DA-87F3AD1757E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6" name="TextBox 695">
          <a:extLst>
            <a:ext uri="{FF2B5EF4-FFF2-40B4-BE49-F238E27FC236}">
              <a16:creationId xmlns:a16="http://schemas.microsoft.com/office/drawing/2014/main" xmlns="" id="{710577F1-DDF2-4686-A880-04AB5EC74A2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7" name="TextBox 696">
          <a:extLst>
            <a:ext uri="{FF2B5EF4-FFF2-40B4-BE49-F238E27FC236}">
              <a16:creationId xmlns:a16="http://schemas.microsoft.com/office/drawing/2014/main" xmlns="" id="{AD509F4B-36F3-49C0-9660-98E538A91FF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8" name="TextBox 697">
          <a:extLst>
            <a:ext uri="{FF2B5EF4-FFF2-40B4-BE49-F238E27FC236}">
              <a16:creationId xmlns:a16="http://schemas.microsoft.com/office/drawing/2014/main" xmlns="" id="{C2409CA8-B0DC-4053-A952-C0E5875621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699" name="TextBox 698">
          <a:extLst>
            <a:ext uri="{FF2B5EF4-FFF2-40B4-BE49-F238E27FC236}">
              <a16:creationId xmlns:a16="http://schemas.microsoft.com/office/drawing/2014/main" xmlns="" id="{313A64BA-9E9D-4752-9489-BC3E51D45F3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0" name="TextBox 699">
          <a:extLst>
            <a:ext uri="{FF2B5EF4-FFF2-40B4-BE49-F238E27FC236}">
              <a16:creationId xmlns:a16="http://schemas.microsoft.com/office/drawing/2014/main" xmlns="" id="{CFC5ABC0-2A0B-4B51-A39B-187D65D5672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1" name="TextBox 700">
          <a:extLst>
            <a:ext uri="{FF2B5EF4-FFF2-40B4-BE49-F238E27FC236}">
              <a16:creationId xmlns:a16="http://schemas.microsoft.com/office/drawing/2014/main" xmlns="" id="{E715540F-25D6-4F7C-BAA4-8B8151F7C3A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2" name="TextBox 701">
          <a:extLst>
            <a:ext uri="{FF2B5EF4-FFF2-40B4-BE49-F238E27FC236}">
              <a16:creationId xmlns:a16="http://schemas.microsoft.com/office/drawing/2014/main" xmlns="" id="{E7574368-5087-4049-BDAB-AC77652D9EE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3" name="TextBox 702">
          <a:extLst>
            <a:ext uri="{FF2B5EF4-FFF2-40B4-BE49-F238E27FC236}">
              <a16:creationId xmlns:a16="http://schemas.microsoft.com/office/drawing/2014/main" xmlns="" id="{FAE890B2-964E-4B9F-A8D1-9AD6089424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4" name="TextBox 703">
          <a:extLst>
            <a:ext uri="{FF2B5EF4-FFF2-40B4-BE49-F238E27FC236}">
              <a16:creationId xmlns:a16="http://schemas.microsoft.com/office/drawing/2014/main" xmlns="" id="{60EA4CDF-2D7A-4C3F-A0F6-EA048152782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5" name="TextBox 704">
          <a:extLst>
            <a:ext uri="{FF2B5EF4-FFF2-40B4-BE49-F238E27FC236}">
              <a16:creationId xmlns:a16="http://schemas.microsoft.com/office/drawing/2014/main" xmlns="" id="{18F94E48-EAAE-47D4-B27B-8EBA732F40C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6" name="TextBox 705">
          <a:extLst>
            <a:ext uri="{FF2B5EF4-FFF2-40B4-BE49-F238E27FC236}">
              <a16:creationId xmlns:a16="http://schemas.microsoft.com/office/drawing/2014/main" xmlns="" id="{B2232EAC-509A-4404-B79F-B46E44F7FE9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7" name="TextBox 706">
          <a:extLst>
            <a:ext uri="{FF2B5EF4-FFF2-40B4-BE49-F238E27FC236}">
              <a16:creationId xmlns:a16="http://schemas.microsoft.com/office/drawing/2014/main" xmlns="" id="{6335EAF4-ADC1-48F6-B1D2-B578976958F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8" name="TextBox 707">
          <a:extLst>
            <a:ext uri="{FF2B5EF4-FFF2-40B4-BE49-F238E27FC236}">
              <a16:creationId xmlns:a16="http://schemas.microsoft.com/office/drawing/2014/main" xmlns="" id="{268CD3B7-AC82-4F22-A82D-A8BFB675F68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09" name="TextBox 708">
          <a:extLst>
            <a:ext uri="{FF2B5EF4-FFF2-40B4-BE49-F238E27FC236}">
              <a16:creationId xmlns:a16="http://schemas.microsoft.com/office/drawing/2014/main" xmlns="" id="{941A4458-6759-4696-9868-44C9644A045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0" name="TextBox 709">
          <a:extLst>
            <a:ext uri="{FF2B5EF4-FFF2-40B4-BE49-F238E27FC236}">
              <a16:creationId xmlns:a16="http://schemas.microsoft.com/office/drawing/2014/main" xmlns="" id="{4ABA21AB-C5CC-4690-B60F-7D5235ECD2F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1" name="TextBox 710">
          <a:extLst>
            <a:ext uri="{FF2B5EF4-FFF2-40B4-BE49-F238E27FC236}">
              <a16:creationId xmlns:a16="http://schemas.microsoft.com/office/drawing/2014/main" xmlns="" id="{C3123583-CADE-448A-A945-1645246B27C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2" name="TextBox 711">
          <a:extLst>
            <a:ext uri="{FF2B5EF4-FFF2-40B4-BE49-F238E27FC236}">
              <a16:creationId xmlns:a16="http://schemas.microsoft.com/office/drawing/2014/main" xmlns="" id="{50ED04C5-96F0-43DD-8D03-9346C515E3F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3" name="TextBox 712">
          <a:extLst>
            <a:ext uri="{FF2B5EF4-FFF2-40B4-BE49-F238E27FC236}">
              <a16:creationId xmlns:a16="http://schemas.microsoft.com/office/drawing/2014/main" xmlns="" id="{C2298F71-B84D-4BC3-B89E-8C231F4F3AB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4" name="TextBox 713">
          <a:extLst>
            <a:ext uri="{FF2B5EF4-FFF2-40B4-BE49-F238E27FC236}">
              <a16:creationId xmlns:a16="http://schemas.microsoft.com/office/drawing/2014/main" xmlns="" id="{6C34649E-E421-4541-90AF-112EB667CD1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5" name="TextBox 714">
          <a:extLst>
            <a:ext uri="{FF2B5EF4-FFF2-40B4-BE49-F238E27FC236}">
              <a16:creationId xmlns:a16="http://schemas.microsoft.com/office/drawing/2014/main" xmlns="" id="{19BACB89-3C02-4F2A-ABA2-AB3A1D543B6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6" name="TextBox 715">
          <a:extLst>
            <a:ext uri="{FF2B5EF4-FFF2-40B4-BE49-F238E27FC236}">
              <a16:creationId xmlns:a16="http://schemas.microsoft.com/office/drawing/2014/main" xmlns="" id="{AD31B41E-9927-4DA5-91CA-A2525B638E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7" name="TextBox 716">
          <a:extLst>
            <a:ext uri="{FF2B5EF4-FFF2-40B4-BE49-F238E27FC236}">
              <a16:creationId xmlns:a16="http://schemas.microsoft.com/office/drawing/2014/main" xmlns="" id="{C6E73931-E7EF-4DF0-9D4E-FBCA7B35EBB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8" name="TextBox 717">
          <a:extLst>
            <a:ext uri="{FF2B5EF4-FFF2-40B4-BE49-F238E27FC236}">
              <a16:creationId xmlns:a16="http://schemas.microsoft.com/office/drawing/2014/main" xmlns="" id="{EB2B9268-979D-4AFF-A6C2-F6BF9355D4E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19" name="TextBox 718">
          <a:extLst>
            <a:ext uri="{FF2B5EF4-FFF2-40B4-BE49-F238E27FC236}">
              <a16:creationId xmlns:a16="http://schemas.microsoft.com/office/drawing/2014/main" xmlns="" id="{9E71F103-29C4-4964-936E-5236602E291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0" name="TextBox 719">
          <a:extLst>
            <a:ext uri="{FF2B5EF4-FFF2-40B4-BE49-F238E27FC236}">
              <a16:creationId xmlns:a16="http://schemas.microsoft.com/office/drawing/2014/main" xmlns="" id="{F09E710F-A02D-4477-9887-5681174FFA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1" name="TextBox 720">
          <a:extLst>
            <a:ext uri="{FF2B5EF4-FFF2-40B4-BE49-F238E27FC236}">
              <a16:creationId xmlns:a16="http://schemas.microsoft.com/office/drawing/2014/main" xmlns="" id="{105A6AFB-0100-4E83-9423-E619C56B2C3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2" name="TextBox 721">
          <a:extLst>
            <a:ext uri="{FF2B5EF4-FFF2-40B4-BE49-F238E27FC236}">
              <a16:creationId xmlns:a16="http://schemas.microsoft.com/office/drawing/2014/main" xmlns="" id="{5CC945F0-662D-4C3C-A255-FB3C1A3E161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3" name="TextBox 722">
          <a:extLst>
            <a:ext uri="{FF2B5EF4-FFF2-40B4-BE49-F238E27FC236}">
              <a16:creationId xmlns:a16="http://schemas.microsoft.com/office/drawing/2014/main" xmlns="" id="{4C6C683B-10A0-4BEC-8DF4-B112CC0C98B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4" name="TextBox 723">
          <a:extLst>
            <a:ext uri="{FF2B5EF4-FFF2-40B4-BE49-F238E27FC236}">
              <a16:creationId xmlns:a16="http://schemas.microsoft.com/office/drawing/2014/main" xmlns="" id="{53376813-B604-4E37-8DB7-BF7FC0CCFF1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5" name="TextBox 724">
          <a:extLst>
            <a:ext uri="{FF2B5EF4-FFF2-40B4-BE49-F238E27FC236}">
              <a16:creationId xmlns:a16="http://schemas.microsoft.com/office/drawing/2014/main" xmlns="" id="{6DD991C1-28F0-42B2-A173-4B79A975EF8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6" name="TextBox 725">
          <a:extLst>
            <a:ext uri="{FF2B5EF4-FFF2-40B4-BE49-F238E27FC236}">
              <a16:creationId xmlns:a16="http://schemas.microsoft.com/office/drawing/2014/main" xmlns="" id="{908C0614-F843-47F1-A223-74A2ED1127F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7" name="TextBox 726">
          <a:extLst>
            <a:ext uri="{FF2B5EF4-FFF2-40B4-BE49-F238E27FC236}">
              <a16:creationId xmlns:a16="http://schemas.microsoft.com/office/drawing/2014/main" xmlns="" id="{B1B0755A-1D7E-4931-BC2B-6180FAD38F1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8" name="TextBox 727">
          <a:extLst>
            <a:ext uri="{FF2B5EF4-FFF2-40B4-BE49-F238E27FC236}">
              <a16:creationId xmlns:a16="http://schemas.microsoft.com/office/drawing/2014/main" xmlns="" id="{7404D8BB-5D3A-490F-B6AE-D5A1A8B85F5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29" name="TextBox 728">
          <a:extLst>
            <a:ext uri="{FF2B5EF4-FFF2-40B4-BE49-F238E27FC236}">
              <a16:creationId xmlns:a16="http://schemas.microsoft.com/office/drawing/2014/main" xmlns="" id="{A7CCFE16-36CF-47BA-8DBF-283C539EB88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0" name="TextBox 729">
          <a:extLst>
            <a:ext uri="{FF2B5EF4-FFF2-40B4-BE49-F238E27FC236}">
              <a16:creationId xmlns:a16="http://schemas.microsoft.com/office/drawing/2014/main" xmlns="" id="{86FA6189-143B-4880-B68B-1E44F2A3315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1" name="TextBox 730">
          <a:extLst>
            <a:ext uri="{FF2B5EF4-FFF2-40B4-BE49-F238E27FC236}">
              <a16:creationId xmlns:a16="http://schemas.microsoft.com/office/drawing/2014/main" xmlns="" id="{98227B14-EA40-40EE-8E59-13F38E4910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2" name="TextBox 731">
          <a:extLst>
            <a:ext uri="{FF2B5EF4-FFF2-40B4-BE49-F238E27FC236}">
              <a16:creationId xmlns:a16="http://schemas.microsoft.com/office/drawing/2014/main" xmlns="" id="{4527ED01-4079-4586-BB1C-45538EDA908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3" name="TextBox 732">
          <a:extLst>
            <a:ext uri="{FF2B5EF4-FFF2-40B4-BE49-F238E27FC236}">
              <a16:creationId xmlns:a16="http://schemas.microsoft.com/office/drawing/2014/main" xmlns="" id="{71FCC293-0068-4EE9-ADF7-0E96A02CC1C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4" name="TextBox 733">
          <a:extLst>
            <a:ext uri="{FF2B5EF4-FFF2-40B4-BE49-F238E27FC236}">
              <a16:creationId xmlns:a16="http://schemas.microsoft.com/office/drawing/2014/main" xmlns="" id="{35ACA4CC-DD52-474F-8CE0-D2575D7200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5" name="TextBox 734">
          <a:extLst>
            <a:ext uri="{FF2B5EF4-FFF2-40B4-BE49-F238E27FC236}">
              <a16:creationId xmlns:a16="http://schemas.microsoft.com/office/drawing/2014/main" xmlns="" id="{50EA0696-9C99-4287-B751-C42B65E726E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6" name="TextBox 735">
          <a:extLst>
            <a:ext uri="{FF2B5EF4-FFF2-40B4-BE49-F238E27FC236}">
              <a16:creationId xmlns:a16="http://schemas.microsoft.com/office/drawing/2014/main" xmlns="" id="{993A7DC3-BCE7-4ED3-BE7D-3700F184904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7" name="TextBox 736">
          <a:extLst>
            <a:ext uri="{FF2B5EF4-FFF2-40B4-BE49-F238E27FC236}">
              <a16:creationId xmlns:a16="http://schemas.microsoft.com/office/drawing/2014/main" xmlns="" id="{E68AAAC1-14D1-4124-8D4E-FF5907BCFAD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8" name="TextBox 737">
          <a:extLst>
            <a:ext uri="{FF2B5EF4-FFF2-40B4-BE49-F238E27FC236}">
              <a16:creationId xmlns:a16="http://schemas.microsoft.com/office/drawing/2014/main" xmlns="" id="{0437B304-8F99-46B4-80DD-5E2C8D4C3B6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39" name="TextBox 738">
          <a:extLst>
            <a:ext uri="{FF2B5EF4-FFF2-40B4-BE49-F238E27FC236}">
              <a16:creationId xmlns:a16="http://schemas.microsoft.com/office/drawing/2014/main" xmlns="" id="{CCB8EA01-5849-4F45-95CE-18904E52C48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0" name="TextBox 739">
          <a:extLst>
            <a:ext uri="{FF2B5EF4-FFF2-40B4-BE49-F238E27FC236}">
              <a16:creationId xmlns:a16="http://schemas.microsoft.com/office/drawing/2014/main" xmlns="" id="{7432395A-7A23-4A95-BF40-1316818EA73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1" name="TextBox 740">
          <a:extLst>
            <a:ext uri="{FF2B5EF4-FFF2-40B4-BE49-F238E27FC236}">
              <a16:creationId xmlns:a16="http://schemas.microsoft.com/office/drawing/2014/main" xmlns="" id="{79CA7E67-EDD2-432E-878F-42E3D5B6972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2" name="TextBox 741">
          <a:extLst>
            <a:ext uri="{FF2B5EF4-FFF2-40B4-BE49-F238E27FC236}">
              <a16:creationId xmlns:a16="http://schemas.microsoft.com/office/drawing/2014/main" xmlns="" id="{83C8A6F3-D43B-4B1D-AB40-9100B83FEE5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3" name="TextBox 742">
          <a:extLst>
            <a:ext uri="{FF2B5EF4-FFF2-40B4-BE49-F238E27FC236}">
              <a16:creationId xmlns:a16="http://schemas.microsoft.com/office/drawing/2014/main" xmlns="" id="{19642A9C-45B0-4129-A4B9-937F0FAD4D0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4" name="TextBox 743">
          <a:extLst>
            <a:ext uri="{FF2B5EF4-FFF2-40B4-BE49-F238E27FC236}">
              <a16:creationId xmlns:a16="http://schemas.microsoft.com/office/drawing/2014/main" xmlns="" id="{476BE026-D476-48E4-B40B-29AFFEF0C01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5" name="TextBox 744">
          <a:extLst>
            <a:ext uri="{FF2B5EF4-FFF2-40B4-BE49-F238E27FC236}">
              <a16:creationId xmlns:a16="http://schemas.microsoft.com/office/drawing/2014/main" xmlns="" id="{8F8B1A40-667A-480E-A38A-7E7C7459F88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6" name="TextBox 745">
          <a:extLst>
            <a:ext uri="{FF2B5EF4-FFF2-40B4-BE49-F238E27FC236}">
              <a16:creationId xmlns:a16="http://schemas.microsoft.com/office/drawing/2014/main" xmlns="" id="{40CEC3E2-63D4-4A8D-B471-B9BAE1676DC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7" name="TextBox 746">
          <a:extLst>
            <a:ext uri="{FF2B5EF4-FFF2-40B4-BE49-F238E27FC236}">
              <a16:creationId xmlns:a16="http://schemas.microsoft.com/office/drawing/2014/main" xmlns="" id="{93AB37BF-4FE1-4B62-A754-043462B1057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8" name="TextBox 747">
          <a:extLst>
            <a:ext uri="{FF2B5EF4-FFF2-40B4-BE49-F238E27FC236}">
              <a16:creationId xmlns:a16="http://schemas.microsoft.com/office/drawing/2014/main" xmlns="" id="{DCEF6FC1-F5E0-4029-9DB3-07A4AC3AE8E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49" name="TextBox 748">
          <a:extLst>
            <a:ext uri="{FF2B5EF4-FFF2-40B4-BE49-F238E27FC236}">
              <a16:creationId xmlns:a16="http://schemas.microsoft.com/office/drawing/2014/main" xmlns="" id="{BE997FF5-8C7B-41DA-8B97-37C32A61693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0" name="TextBox 749">
          <a:extLst>
            <a:ext uri="{FF2B5EF4-FFF2-40B4-BE49-F238E27FC236}">
              <a16:creationId xmlns:a16="http://schemas.microsoft.com/office/drawing/2014/main" xmlns="" id="{19D99A07-EF8D-4CC4-85F9-2DED2928F97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1" name="TextBox 750">
          <a:extLst>
            <a:ext uri="{FF2B5EF4-FFF2-40B4-BE49-F238E27FC236}">
              <a16:creationId xmlns:a16="http://schemas.microsoft.com/office/drawing/2014/main" xmlns="" id="{0187677E-0005-42D1-BB8D-AC0DED55C67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2" name="TextBox 751">
          <a:extLst>
            <a:ext uri="{FF2B5EF4-FFF2-40B4-BE49-F238E27FC236}">
              <a16:creationId xmlns:a16="http://schemas.microsoft.com/office/drawing/2014/main" xmlns="" id="{FE1E4975-CA76-42E9-A4A3-E226B7D4D33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3" name="TextBox 752">
          <a:extLst>
            <a:ext uri="{FF2B5EF4-FFF2-40B4-BE49-F238E27FC236}">
              <a16:creationId xmlns:a16="http://schemas.microsoft.com/office/drawing/2014/main" xmlns="" id="{D77ED01B-2996-41EC-A7B6-80BA1CA12F2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4" name="TextBox 753">
          <a:extLst>
            <a:ext uri="{FF2B5EF4-FFF2-40B4-BE49-F238E27FC236}">
              <a16:creationId xmlns:a16="http://schemas.microsoft.com/office/drawing/2014/main" xmlns="" id="{C1EAB93D-2B0D-4AEC-AD14-925399370F8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5" name="TextBox 754">
          <a:extLst>
            <a:ext uri="{FF2B5EF4-FFF2-40B4-BE49-F238E27FC236}">
              <a16:creationId xmlns:a16="http://schemas.microsoft.com/office/drawing/2014/main" xmlns="" id="{A97D37D0-5B47-4858-9AD3-333E4548690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6" name="TextBox 755">
          <a:extLst>
            <a:ext uri="{FF2B5EF4-FFF2-40B4-BE49-F238E27FC236}">
              <a16:creationId xmlns:a16="http://schemas.microsoft.com/office/drawing/2014/main" xmlns="" id="{A1D5F47C-DE87-4C51-BA66-E3A1A8DC9D2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7" name="TextBox 756">
          <a:extLst>
            <a:ext uri="{FF2B5EF4-FFF2-40B4-BE49-F238E27FC236}">
              <a16:creationId xmlns:a16="http://schemas.microsoft.com/office/drawing/2014/main" xmlns="" id="{DBC1E66F-36EF-42E3-89C5-AC2A64E7CCD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8" name="TextBox 757">
          <a:extLst>
            <a:ext uri="{FF2B5EF4-FFF2-40B4-BE49-F238E27FC236}">
              <a16:creationId xmlns:a16="http://schemas.microsoft.com/office/drawing/2014/main" xmlns="" id="{4F9A8424-F441-4F27-B9F3-41B0A9CE3E3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59" name="TextBox 758">
          <a:extLst>
            <a:ext uri="{FF2B5EF4-FFF2-40B4-BE49-F238E27FC236}">
              <a16:creationId xmlns:a16="http://schemas.microsoft.com/office/drawing/2014/main" xmlns="" id="{72736434-9386-4E21-A754-C824D3357AB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0" name="TextBox 759">
          <a:extLst>
            <a:ext uri="{FF2B5EF4-FFF2-40B4-BE49-F238E27FC236}">
              <a16:creationId xmlns:a16="http://schemas.microsoft.com/office/drawing/2014/main" xmlns="" id="{212BA320-5DB6-48CA-83D7-C951F558DE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1" name="TextBox 760">
          <a:extLst>
            <a:ext uri="{FF2B5EF4-FFF2-40B4-BE49-F238E27FC236}">
              <a16:creationId xmlns:a16="http://schemas.microsoft.com/office/drawing/2014/main" xmlns="" id="{4F3210FC-6AC3-41AB-BFF0-05DD3A4230D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2" name="TextBox 761">
          <a:extLst>
            <a:ext uri="{FF2B5EF4-FFF2-40B4-BE49-F238E27FC236}">
              <a16:creationId xmlns:a16="http://schemas.microsoft.com/office/drawing/2014/main" xmlns="" id="{C61E5075-81EF-4F05-BCB6-20801001F4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3" name="TextBox 762">
          <a:extLst>
            <a:ext uri="{FF2B5EF4-FFF2-40B4-BE49-F238E27FC236}">
              <a16:creationId xmlns:a16="http://schemas.microsoft.com/office/drawing/2014/main" xmlns="" id="{17521373-2C25-4C52-A8A7-0C7254E299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4" name="TextBox 763">
          <a:extLst>
            <a:ext uri="{FF2B5EF4-FFF2-40B4-BE49-F238E27FC236}">
              <a16:creationId xmlns:a16="http://schemas.microsoft.com/office/drawing/2014/main" xmlns="" id="{FF1C9481-9A20-49EB-A545-447CBFFAA27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5" name="TextBox 764">
          <a:extLst>
            <a:ext uri="{FF2B5EF4-FFF2-40B4-BE49-F238E27FC236}">
              <a16:creationId xmlns:a16="http://schemas.microsoft.com/office/drawing/2014/main" xmlns="" id="{B94B8A43-3645-4A52-A094-C86BC53BCA9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6" name="TextBox 765">
          <a:extLst>
            <a:ext uri="{FF2B5EF4-FFF2-40B4-BE49-F238E27FC236}">
              <a16:creationId xmlns:a16="http://schemas.microsoft.com/office/drawing/2014/main" xmlns="" id="{B2E19CD8-6201-4D12-8D81-6DE249F86BC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7" name="TextBox 766">
          <a:extLst>
            <a:ext uri="{FF2B5EF4-FFF2-40B4-BE49-F238E27FC236}">
              <a16:creationId xmlns:a16="http://schemas.microsoft.com/office/drawing/2014/main" xmlns="" id="{0F10637A-8C08-4F93-A447-13DDC69650F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8" name="TextBox 767">
          <a:extLst>
            <a:ext uri="{FF2B5EF4-FFF2-40B4-BE49-F238E27FC236}">
              <a16:creationId xmlns:a16="http://schemas.microsoft.com/office/drawing/2014/main" xmlns="" id="{BFCFF1EB-C3C7-4C3F-9A21-062976CF944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69" name="TextBox 768">
          <a:extLst>
            <a:ext uri="{FF2B5EF4-FFF2-40B4-BE49-F238E27FC236}">
              <a16:creationId xmlns:a16="http://schemas.microsoft.com/office/drawing/2014/main" xmlns="" id="{ACDE6E24-339C-488A-9B5C-3FAB2B32FDD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0" name="TextBox 769">
          <a:extLst>
            <a:ext uri="{FF2B5EF4-FFF2-40B4-BE49-F238E27FC236}">
              <a16:creationId xmlns:a16="http://schemas.microsoft.com/office/drawing/2014/main" xmlns="" id="{A799ADF8-0021-4D28-8D2B-811F126BF9B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1" name="TextBox 770">
          <a:extLst>
            <a:ext uri="{FF2B5EF4-FFF2-40B4-BE49-F238E27FC236}">
              <a16:creationId xmlns:a16="http://schemas.microsoft.com/office/drawing/2014/main" xmlns="" id="{6EA729DE-7D24-4EDB-BCCC-668095BCCDC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2" name="TextBox 771">
          <a:extLst>
            <a:ext uri="{FF2B5EF4-FFF2-40B4-BE49-F238E27FC236}">
              <a16:creationId xmlns:a16="http://schemas.microsoft.com/office/drawing/2014/main" xmlns="" id="{C083C27D-8F62-440B-AE82-3E41B017A0E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3" name="TextBox 772">
          <a:extLst>
            <a:ext uri="{FF2B5EF4-FFF2-40B4-BE49-F238E27FC236}">
              <a16:creationId xmlns:a16="http://schemas.microsoft.com/office/drawing/2014/main" xmlns="" id="{0A2C8128-98B8-487C-96E5-8C4F489FAB4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4" name="TextBox 773">
          <a:extLst>
            <a:ext uri="{FF2B5EF4-FFF2-40B4-BE49-F238E27FC236}">
              <a16:creationId xmlns:a16="http://schemas.microsoft.com/office/drawing/2014/main" xmlns="" id="{75082BDF-A532-4CC2-823A-939FA2C52D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5" name="TextBox 774">
          <a:extLst>
            <a:ext uri="{FF2B5EF4-FFF2-40B4-BE49-F238E27FC236}">
              <a16:creationId xmlns:a16="http://schemas.microsoft.com/office/drawing/2014/main" xmlns="" id="{453B21FE-65C3-428F-B952-F1E97FE0FA8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6" name="TextBox 775">
          <a:extLst>
            <a:ext uri="{FF2B5EF4-FFF2-40B4-BE49-F238E27FC236}">
              <a16:creationId xmlns:a16="http://schemas.microsoft.com/office/drawing/2014/main" xmlns="" id="{10FAE2C6-A91D-419B-BEDB-DFD1EE3BEF9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7" name="TextBox 776">
          <a:extLst>
            <a:ext uri="{FF2B5EF4-FFF2-40B4-BE49-F238E27FC236}">
              <a16:creationId xmlns:a16="http://schemas.microsoft.com/office/drawing/2014/main" xmlns="" id="{052C9462-6D1F-4964-879C-31445F5453F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8" name="TextBox 777">
          <a:extLst>
            <a:ext uri="{FF2B5EF4-FFF2-40B4-BE49-F238E27FC236}">
              <a16:creationId xmlns:a16="http://schemas.microsoft.com/office/drawing/2014/main" xmlns="" id="{3B41BCF0-BEAA-403D-BCB3-826E5752A4B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79" name="TextBox 778">
          <a:extLst>
            <a:ext uri="{FF2B5EF4-FFF2-40B4-BE49-F238E27FC236}">
              <a16:creationId xmlns:a16="http://schemas.microsoft.com/office/drawing/2014/main" xmlns="" id="{1CC1395B-22D8-4BA4-8CDD-90941CC3939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0" name="TextBox 779">
          <a:extLst>
            <a:ext uri="{FF2B5EF4-FFF2-40B4-BE49-F238E27FC236}">
              <a16:creationId xmlns:a16="http://schemas.microsoft.com/office/drawing/2014/main" xmlns="" id="{18FC141C-DCA6-4897-A8A4-45CCB3D8B54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1" name="TextBox 780">
          <a:extLst>
            <a:ext uri="{FF2B5EF4-FFF2-40B4-BE49-F238E27FC236}">
              <a16:creationId xmlns:a16="http://schemas.microsoft.com/office/drawing/2014/main" xmlns="" id="{8A0142D1-CB38-4A2C-BF9D-4C3573B9FDF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2" name="TextBox 781">
          <a:extLst>
            <a:ext uri="{FF2B5EF4-FFF2-40B4-BE49-F238E27FC236}">
              <a16:creationId xmlns:a16="http://schemas.microsoft.com/office/drawing/2014/main" xmlns="" id="{220D5BE8-468F-4464-80AE-1414AEF7376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3" name="TextBox 782">
          <a:extLst>
            <a:ext uri="{FF2B5EF4-FFF2-40B4-BE49-F238E27FC236}">
              <a16:creationId xmlns:a16="http://schemas.microsoft.com/office/drawing/2014/main" xmlns="" id="{BD79C7C9-584E-4B7C-95D8-0ED3D175674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4" name="TextBox 783">
          <a:extLst>
            <a:ext uri="{FF2B5EF4-FFF2-40B4-BE49-F238E27FC236}">
              <a16:creationId xmlns:a16="http://schemas.microsoft.com/office/drawing/2014/main" xmlns="" id="{E12316C7-070E-4D9A-A405-CEA7FCAED7F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5" name="TextBox 784">
          <a:extLst>
            <a:ext uri="{FF2B5EF4-FFF2-40B4-BE49-F238E27FC236}">
              <a16:creationId xmlns:a16="http://schemas.microsoft.com/office/drawing/2014/main" xmlns="" id="{E9CF95ED-4E32-4FDD-8B46-352C962F171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6" name="TextBox 785">
          <a:extLst>
            <a:ext uri="{FF2B5EF4-FFF2-40B4-BE49-F238E27FC236}">
              <a16:creationId xmlns:a16="http://schemas.microsoft.com/office/drawing/2014/main" xmlns="" id="{E539C166-048D-4A79-8DF6-A21E1DF8A62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7" name="TextBox 786">
          <a:extLst>
            <a:ext uri="{FF2B5EF4-FFF2-40B4-BE49-F238E27FC236}">
              <a16:creationId xmlns:a16="http://schemas.microsoft.com/office/drawing/2014/main" xmlns="" id="{C2C62CB0-E04C-408D-B364-D13E57593E5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8" name="TextBox 787">
          <a:extLst>
            <a:ext uri="{FF2B5EF4-FFF2-40B4-BE49-F238E27FC236}">
              <a16:creationId xmlns:a16="http://schemas.microsoft.com/office/drawing/2014/main" xmlns="" id="{34BE5A0C-86A3-422D-9526-67627680621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89" name="TextBox 788">
          <a:extLst>
            <a:ext uri="{FF2B5EF4-FFF2-40B4-BE49-F238E27FC236}">
              <a16:creationId xmlns:a16="http://schemas.microsoft.com/office/drawing/2014/main" xmlns="" id="{FB4EEFA8-F68D-400D-844E-83DC567418B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0" name="TextBox 789">
          <a:extLst>
            <a:ext uri="{FF2B5EF4-FFF2-40B4-BE49-F238E27FC236}">
              <a16:creationId xmlns:a16="http://schemas.microsoft.com/office/drawing/2014/main" xmlns="" id="{BE48ECF5-6ACE-403A-9DCC-B71DB40434D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1" name="TextBox 790">
          <a:extLst>
            <a:ext uri="{FF2B5EF4-FFF2-40B4-BE49-F238E27FC236}">
              <a16:creationId xmlns:a16="http://schemas.microsoft.com/office/drawing/2014/main" xmlns="" id="{737BD175-D356-466F-9DA9-1DE7B61972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2" name="TextBox 791">
          <a:extLst>
            <a:ext uri="{FF2B5EF4-FFF2-40B4-BE49-F238E27FC236}">
              <a16:creationId xmlns:a16="http://schemas.microsoft.com/office/drawing/2014/main" xmlns="" id="{A9B7250E-09FE-4BFE-8E63-EE5266924CA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3" name="TextBox 792">
          <a:extLst>
            <a:ext uri="{FF2B5EF4-FFF2-40B4-BE49-F238E27FC236}">
              <a16:creationId xmlns:a16="http://schemas.microsoft.com/office/drawing/2014/main" xmlns="" id="{623A8FC1-AC5F-4EE9-96B8-2D9BF8E52C4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4" name="TextBox 793">
          <a:extLst>
            <a:ext uri="{FF2B5EF4-FFF2-40B4-BE49-F238E27FC236}">
              <a16:creationId xmlns:a16="http://schemas.microsoft.com/office/drawing/2014/main" xmlns="" id="{C7D06EF1-6350-4CBC-9D4A-4E6B8527117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5" name="TextBox 794">
          <a:extLst>
            <a:ext uri="{FF2B5EF4-FFF2-40B4-BE49-F238E27FC236}">
              <a16:creationId xmlns:a16="http://schemas.microsoft.com/office/drawing/2014/main" xmlns="" id="{D421ED6F-01FA-4FA3-BB5E-2E4DD1B258E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6" name="TextBox 795">
          <a:extLst>
            <a:ext uri="{FF2B5EF4-FFF2-40B4-BE49-F238E27FC236}">
              <a16:creationId xmlns:a16="http://schemas.microsoft.com/office/drawing/2014/main" xmlns="" id="{6C467992-68A9-4889-A32A-29436D5595E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7" name="TextBox 796">
          <a:extLst>
            <a:ext uri="{FF2B5EF4-FFF2-40B4-BE49-F238E27FC236}">
              <a16:creationId xmlns:a16="http://schemas.microsoft.com/office/drawing/2014/main" xmlns="" id="{CFFC4C8C-A4E6-4F43-8DBC-9AD5F65FA7A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8" name="TextBox 797">
          <a:extLst>
            <a:ext uri="{FF2B5EF4-FFF2-40B4-BE49-F238E27FC236}">
              <a16:creationId xmlns:a16="http://schemas.microsoft.com/office/drawing/2014/main" xmlns="" id="{96A48C76-F7F3-4346-B441-4AE44D0D879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799" name="TextBox 798">
          <a:extLst>
            <a:ext uri="{FF2B5EF4-FFF2-40B4-BE49-F238E27FC236}">
              <a16:creationId xmlns:a16="http://schemas.microsoft.com/office/drawing/2014/main" xmlns="" id="{68FB602A-94FA-4E05-A4C9-55D32DE5977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0" name="TextBox 799">
          <a:extLst>
            <a:ext uri="{FF2B5EF4-FFF2-40B4-BE49-F238E27FC236}">
              <a16:creationId xmlns:a16="http://schemas.microsoft.com/office/drawing/2014/main" xmlns="" id="{0650A19F-DE11-4A06-A78F-4D32603EDEB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1" name="TextBox 800">
          <a:extLst>
            <a:ext uri="{FF2B5EF4-FFF2-40B4-BE49-F238E27FC236}">
              <a16:creationId xmlns:a16="http://schemas.microsoft.com/office/drawing/2014/main" xmlns="" id="{E4EE2DAF-E915-4948-86A6-D9DFC93FC84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2" name="TextBox 801">
          <a:extLst>
            <a:ext uri="{FF2B5EF4-FFF2-40B4-BE49-F238E27FC236}">
              <a16:creationId xmlns:a16="http://schemas.microsoft.com/office/drawing/2014/main" xmlns="" id="{7FE59C8F-62C1-42B6-913A-0138E33CAC4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3" name="TextBox 802">
          <a:extLst>
            <a:ext uri="{FF2B5EF4-FFF2-40B4-BE49-F238E27FC236}">
              <a16:creationId xmlns:a16="http://schemas.microsoft.com/office/drawing/2014/main" xmlns="" id="{04A0AB32-03AE-466D-B21D-E6116798EEA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4" name="TextBox 803">
          <a:extLst>
            <a:ext uri="{FF2B5EF4-FFF2-40B4-BE49-F238E27FC236}">
              <a16:creationId xmlns:a16="http://schemas.microsoft.com/office/drawing/2014/main" xmlns="" id="{6790A405-DB67-428A-8C05-BC9732CA6F1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5" name="TextBox 804">
          <a:extLst>
            <a:ext uri="{FF2B5EF4-FFF2-40B4-BE49-F238E27FC236}">
              <a16:creationId xmlns:a16="http://schemas.microsoft.com/office/drawing/2014/main" xmlns="" id="{46D8DFA9-77C3-4B16-B291-67543BBD5B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6" name="TextBox 805">
          <a:extLst>
            <a:ext uri="{FF2B5EF4-FFF2-40B4-BE49-F238E27FC236}">
              <a16:creationId xmlns:a16="http://schemas.microsoft.com/office/drawing/2014/main" xmlns="" id="{E19C7212-930E-4E51-A896-E1EDB057D29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7" name="TextBox 806">
          <a:extLst>
            <a:ext uri="{FF2B5EF4-FFF2-40B4-BE49-F238E27FC236}">
              <a16:creationId xmlns:a16="http://schemas.microsoft.com/office/drawing/2014/main" xmlns="" id="{10FDA798-431B-4AA4-B38B-F87297EC8F7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8" name="TextBox 807">
          <a:extLst>
            <a:ext uri="{FF2B5EF4-FFF2-40B4-BE49-F238E27FC236}">
              <a16:creationId xmlns:a16="http://schemas.microsoft.com/office/drawing/2014/main" xmlns="" id="{318FF85E-9449-4854-85AF-A64EE1DA348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09" name="TextBox 808">
          <a:extLst>
            <a:ext uri="{FF2B5EF4-FFF2-40B4-BE49-F238E27FC236}">
              <a16:creationId xmlns:a16="http://schemas.microsoft.com/office/drawing/2014/main" xmlns="" id="{4E136DC8-4305-4592-BF3A-B83EBAFEDD5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0" name="TextBox 809">
          <a:extLst>
            <a:ext uri="{FF2B5EF4-FFF2-40B4-BE49-F238E27FC236}">
              <a16:creationId xmlns:a16="http://schemas.microsoft.com/office/drawing/2014/main" xmlns="" id="{E673EB7F-A56F-4074-AABE-04837E5DA19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1" name="TextBox 810">
          <a:extLst>
            <a:ext uri="{FF2B5EF4-FFF2-40B4-BE49-F238E27FC236}">
              <a16:creationId xmlns:a16="http://schemas.microsoft.com/office/drawing/2014/main" xmlns="" id="{DB484AD9-59E8-434D-9E69-493FA29CC84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2" name="TextBox 811">
          <a:extLst>
            <a:ext uri="{FF2B5EF4-FFF2-40B4-BE49-F238E27FC236}">
              <a16:creationId xmlns:a16="http://schemas.microsoft.com/office/drawing/2014/main" xmlns="" id="{A45A5BA8-C140-4859-B1D8-A49D56243A5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3" name="TextBox 812">
          <a:extLst>
            <a:ext uri="{FF2B5EF4-FFF2-40B4-BE49-F238E27FC236}">
              <a16:creationId xmlns:a16="http://schemas.microsoft.com/office/drawing/2014/main" xmlns="" id="{06694D6E-C903-49D2-8483-53233CAB902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4" name="TextBox 813">
          <a:extLst>
            <a:ext uri="{FF2B5EF4-FFF2-40B4-BE49-F238E27FC236}">
              <a16:creationId xmlns:a16="http://schemas.microsoft.com/office/drawing/2014/main" xmlns="" id="{97E6C88D-B89B-4563-9915-FB3C349605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5" name="TextBox 814">
          <a:extLst>
            <a:ext uri="{FF2B5EF4-FFF2-40B4-BE49-F238E27FC236}">
              <a16:creationId xmlns:a16="http://schemas.microsoft.com/office/drawing/2014/main" xmlns="" id="{B4A21CB7-25A4-4EC0-9F57-D3FC1A6A0A4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6" name="TextBox 815">
          <a:extLst>
            <a:ext uri="{FF2B5EF4-FFF2-40B4-BE49-F238E27FC236}">
              <a16:creationId xmlns:a16="http://schemas.microsoft.com/office/drawing/2014/main" xmlns="" id="{7C53485E-2A5D-40A4-93CD-7D536B99ADD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7" name="TextBox 816">
          <a:extLst>
            <a:ext uri="{FF2B5EF4-FFF2-40B4-BE49-F238E27FC236}">
              <a16:creationId xmlns:a16="http://schemas.microsoft.com/office/drawing/2014/main" xmlns="" id="{5774249A-C067-4DE1-9376-D41506ACAD1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8" name="TextBox 817">
          <a:extLst>
            <a:ext uri="{FF2B5EF4-FFF2-40B4-BE49-F238E27FC236}">
              <a16:creationId xmlns:a16="http://schemas.microsoft.com/office/drawing/2014/main" xmlns="" id="{FE3BC178-117B-478C-B115-40C92381AC5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19" name="TextBox 818">
          <a:extLst>
            <a:ext uri="{FF2B5EF4-FFF2-40B4-BE49-F238E27FC236}">
              <a16:creationId xmlns:a16="http://schemas.microsoft.com/office/drawing/2014/main" xmlns="" id="{8DFA5555-165E-4D2A-B3C9-3E54F312933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0" name="TextBox 819">
          <a:extLst>
            <a:ext uri="{FF2B5EF4-FFF2-40B4-BE49-F238E27FC236}">
              <a16:creationId xmlns:a16="http://schemas.microsoft.com/office/drawing/2014/main" xmlns="" id="{3DBCB2CC-21B6-4928-B711-DD97679E1B9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1" name="TextBox 820">
          <a:extLst>
            <a:ext uri="{FF2B5EF4-FFF2-40B4-BE49-F238E27FC236}">
              <a16:creationId xmlns:a16="http://schemas.microsoft.com/office/drawing/2014/main" xmlns="" id="{28B98B10-B07D-4004-A621-F3C96E41DA3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2" name="TextBox 821">
          <a:extLst>
            <a:ext uri="{FF2B5EF4-FFF2-40B4-BE49-F238E27FC236}">
              <a16:creationId xmlns:a16="http://schemas.microsoft.com/office/drawing/2014/main" xmlns="" id="{FEC70B24-11AF-4452-8150-DC7D685FA0E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3" name="TextBox 822">
          <a:extLst>
            <a:ext uri="{FF2B5EF4-FFF2-40B4-BE49-F238E27FC236}">
              <a16:creationId xmlns:a16="http://schemas.microsoft.com/office/drawing/2014/main" xmlns="" id="{B6C83B25-FB22-4338-B63F-C39B21AA0BA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4" name="TextBox 823">
          <a:extLst>
            <a:ext uri="{FF2B5EF4-FFF2-40B4-BE49-F238E27FC236}">
              <a16:creationId xmlns:a16="http://schemas.microsoft.com/office/drawing/2014/main" xmlns="" id="{FB5BD8E9-F38F-49DE-B149-C6B5130EB90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5" name="TextBox 824">
          <a:extLst>
            <a:ext uri="{FF2B5EF4-FFF2-40B4-BE49-F238E27FC236}">
              <a16:creationId xmlns:a16="http://schemas.microsoft.com/office/drawing/2014/main" xmlns="" id="{5071D984-D566-46F4-ABA1-A8597329BC3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6" name="TextBox 825">
          <a:extLst>
            <a:ext uri="{FF2B5EF4-FFF2-40B4-BE49-F238E27FC236}">
              <a16:creationId xmlns:a16="http://schemas.microsoft.com/office/drawing/2014/main" xmlns="" id="{D0962F11-FBB1-4F9F-B4C7-1015BE152FF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7" name="TextBox 826">
          <a:extLst>
            <a:ext uri="{FF2B5EF4-FFF2-40B4-BE49-F238E27FC236}">
              <a16:creationId xmlns:a16="http://schemas.microsoft.com/office/drawing/2014/main" xmlns="" id="{4E2700FA-7E5C-4436-BB3C-9BC35546F51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8" name="TextBox 827">
          <a:extLst>
            <a:ext uri="{FF2B5EF4-FFF2-40B4-BE49-F238E27FC236}">
              <a16:creationId xmlns:a16="http://schemas.microsoft.com/office/drawing/2014/main" xmlns="" id="{F253110B-2E9F-40B6-A08F-5FA204B3CA9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29" name="TextBox 828">
          <a:extLst>
            <a:ext uri="{FF2B5EF4-FFF2-40B4-BE49-F238E27FC236}">
              <a16:creationId xmlns:a16="http://schemas.microsoft.com/office/drawing/2014/main" xmlns="" id="{EE688D4E-AD56-489D-97DA-A89EA8FD866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0" name="TextBox 829">
          <a:extLst>
            <a:ext uri="{FF2B5EF4-FFF2-40B4-BE49-F238E27FC236}">
              <a16:creationId xmlns:a16="http://schemas.microsoft.com/office/drawing/2014/main" xmlns="" id="{F947D23D-84EF-4EB0-A2B0-5C3BC6E3152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1" name="TextBox 830">
          <a:extLst>
            <a:ext uri="{FF2B5EF4-FFF2-40B4-BE49-F238E27FC236}">
              <a16:creationId xmlns:a16="http://schemas.microsoft.com/office/drawing/2014/main" xmlns="" id="{98790A9D-11BD-48DF-84B8-DB184D51B58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2" name="TextBox 831">
          <a:extLst>
            <a:ext uri="{FF2B5EF4-FFF2-40B4-BE49-F238E27FC236}">
              <a16:creationId xmlns:a16="http://schemas.microsoft.com/office/drawing/2014/main" xmlns="" id="{E0A1D7CF-1FDB-401E-BF27-86624AB47D5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3" name="TextBox 832">
          <a:extLst>
            <a:ext uri="{FF2B5EF4-FFF2-40B4-BE49-F238E27FC236}">
              <a16:creationId xmlns:a16="http://schemas.microsoft.com/office/drawing/2014/main" xmlns="" id="{9760CF9D-1437-4E4E-8F7C-0BA1EAB8294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4" name="TextBox 833">
          <a:extLst>
            <a:ext uri="{FF2B5EF4-FFF2-40B4-BE49-F238E27FC236}">
              <a16:creationId xmlns:a16="http://schemas.microsoft.com/office/drawing/2014/main" xmlns="" id="{D7F39E1E-1945-462D-AC6C-DEDA1DAC79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5" name="TextBox 834">
          <a:extLst>
            <a:ext uri="{FF2B5EF4-FFF2-40B4-BE49-F238E27FC236}">
              <a16:creationId xmlns:a16="http://schemas.microsoft.com/office/drawing/2014/main" xmlns="" id="{5B23C7D7-CA9B-4018-A43C-653B59207A4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6" name="TextBox 835">
          <a:extLst>
            <a:ext uri="{FF2B5EF4-FFF2-40B4-BE49-F238E27FC236}">
              <a16:creationId xmlns:a16="http://schemas.microsoft.com/office/drawing/2014/main" xmlns="" id="{6168B1A7-8CCD-4615-B2A8-40BC9A434A9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7" name="TextBox 836">
          <a:extLst>
            <a:ext uri="{FF2B5EF4-FFF2-40B4-BE49-F238E27FC236}">
              <a16:creationId xmlns:a16="http://schemas.microsoft.com/office/drawing/2014/main" xmlns="" id="{49A50E8F-14AE-49F8-8808-3F1F85DBE40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8" name="TextBox 837">
          <a:extLst>
            <a:ext uri="{FF2B5EF4-FFF2-40B4-BE49-F238E27FC236}">
              <a16:creationId xmlns:a16="http://schemas.microsoft.com/office/drawing/2014/main" xmlns="" id="{0F51A640-A165-42B5-B1AF-A99C938F9D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39" name="TextBox 838">
          <a:extLst>
            <a:ext uri="{FF2B5EF4-FFF2-40B4-BE49-F238E27FC236}">
              <a16:creationId xmlns:a16="http://schemas.microsoft.com/office/drawing/2014/main" xmlns="" id="{59E458AD-FD95-4194-8F66-8B6515D6769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0" name="TextBox 839">
          <a:extLst>
            <a:ext uri="{FF2B5EF4-FFF2-40B4-BE49-F238E27FC236}">
              <a16:creationId xmlns:a16="http://schemas.microsoft.com/office/drawing/2014/main" xmlns="" id="{D01BB1D7-66CB-4360-81A5-31E514652D8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1" name="TextBox 840">
          <a:extLst>
            <a:ext uri="{FF2B5EF4-FFF2-40B4-BE49-F238E27FC236}">
              <a16:creationId xmlns:a16="http://schemas.microsoft.com/office/drawing/2014/main" xmlns="" id="{597F99B9-3F6C-4B98-BA18-D78F0467393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2" name="TextBox 841">
          <a:extLst>
            <a:ext uri="{FF2B5EF4-FFF2-40B4-BE49-F238E27FC236}">
              <a16:creationId xmlns:a16="http://schemas.microsoft.com/office/drawing/2014/main" xmlns="" id="{6A58D202-5F11-4C4F-829D-8858780A7FF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3" name="TextBox 842">
          <a:extLst>
            <a:ext uri="{FF2B5EF4-FFF2-40B4-BE49-F238E27FC236}">
              <a16:creationId xmlns:a16="http://schemas.microsoft.com/office/drawing/2014/main" xmlns="" id="{ADE2E188-C96C-40B8-B377-1B81510906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4" name="TextBox 843">
          <a:extLst>
            <a:ext uri="{FF2B5EF4-FFF2-40B4-BE49-F238E27FC236}">
              <a16:creationId xmlns:a16="http://schemas.microsoft.com/office/drawing/2014/main" xmlns="" id="{6F93C325-4F01-4EB7-B24C-640D8AD6DEA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5" name="TextBox 844">
          <a:extLst>
            <a:ext uri="{FF2B5EF4-FFF2-40B4-BE49-F238E27FC236}">
              <a16:creationId xmlns:a16="http://schemas.microsoft.com/office/drawing/2014/main" xmlns="" id="{F40BA147-ACEF-4EC5-BF71-754AD48A62A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6" name="TextBox 845">
          <a:extLst>
            <a:ext uri="{FF2B5EF4-FFF2-40B4-BE49-F238E27FC236}">
              <a16:creationId xmlns:a16="http://schemas.microsoft.com/office/drawing/2014/main" xmlns="" id="{AFF92CE0-C381-46B6-B9BE-5F4BB334E0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7" name="TextBox 846">
          <a:extLst>
            <a:ext uri="{FF2B5EF4-FFF2-40B4-BE49-F238E27FC236}">
              <a16:creationId xmlns:a16="http://schemas.microsoft.com/office/drawing/2014/main" xmlns="" id="{43F81014-4530-4F15-8816-A278C43EA99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8" name="TextBox 847">
          <a:extLst>
            <a:ext uri="{FF2B5EF4-FFF2-40B4-BE49-F238E27FC236}">
              <a16:creationId xmlns:a16="http://schemas.microsoft.com/office/drawing/2014/main" xmlns="" id="{60FB8112-44AA-42F2-BDE9-B1E9ED13479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49" name="TextBox 848">
          <a:extLst>
            <a:ext uri="{FF2B5EF4-FFF2-40B4-BE49-F238E27FC236}">
              <a16:creationId xmlns:a16="http://schemas.microsoft.com/office/drawing/2014/main" xmlns="" id="{354B7A67-B4EE-4C45-AA85-BEA9859DD44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0" name="TextBox 849">
          <a:extLst>
            <a:ext uri="{FF2B5EF4-FFF2-40B4-BE49-F238E27FC236}">
              <a16:creationId xmlns:a16="http://schemas.microsoft.com/office/drawing/2014/main" xmlns="" id="{F727AF24-3FD7-4E6D-B5E4-E170CDF4F0C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1" name="TextBox 850">
          <a:extLst>
            <a:ext uri="{FF2B5EF4-FFF2-40B4-BE49-F238E27FC236}">
              <a16:creationId xmlns:a16="http://schemas.microsoft.com/office/drawing/2014/main" xmlns="" id="{FF03BB91-2053-45D3-B719-48590983A18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2" name="TextBox 851">
          <a:extLst>
            <a:ext uri="{FF2B5EF4-FFF2-40B4-BE49-F238E27FC236}">
              <a16:creationId xmlns:a16="http://schemas.microsoft.com/office/drawing/2014/main" xmlns="" id="{29570978-9E8A-4CCF-8796-C71BE3711B3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3" name="TextBox 852">
          <a:extLst>
            <a:ext uri="{FF2B5EF4-FFF2-40B4-BE49-F238E27FC236}">
              <a16:creationId xmlns:a16="http://schemas.microsoft.com/office/drawing/2014/main" xmlns="" id="{1FF379F8-5A62-430B-9536-A2AABA4222E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4" name="TextBox 853">
          <a:extLst>
            <a:ext uri="{FF2B5EF4-FFF2-40B4-BE49-F238E27FC236}">
              <a16:creationId xmlns:a16="http://schemas.microsoft.com/office/drawing/2014/main" xmlns="" id="{28C0EF6F-F8E3-4B72-99E6-058C3FB5BE9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5" name="TextBox 854">
          <a:extLst>
            <a:ext uri="{FF2B5EF4-FFF2-40B4-BE49-F238E27FC236}">
              <a16:creationId xmlns:a16="http://schemas.microsoft.com/office/drawing/2014/main" xmlns="" id="{FE8E02FD-521F-478A-8989-FCEF5E79EF3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6" name="TextBox 855">
          <a:extLst>
            <a:ext uri="{FF2B5EF4-FFF2-40B4-BE49-F238E27FC236}">
              <a16:creationId xmlns:a16="http://schemas.microsoft.com/office/drawing/2014/main" xmlns="" id="{1CA6566F-79D1-4129-A3DD-A2A8B46C89E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7" name="TextBox 856">
          <a:extLst>
            <a:ext uri="{FF2B5EF4-FFF2-40B4-BE49-F238E27FC236}">
              <a16:creationId xmlns:a16="http://schemas.microsoft.com/office/drawing/2014/main" xmlns="" id="{3558AC0E-D9AC-4971-9815-08BE012DE22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8" name="TextBox 857">
          <a:extLst>
            <a:ext uri="{FF2B5EF4-FFF2-40B4-BE49-F238E27FC236}">
              <a16:creationId xmlns:a16="http://schemas.microsoft.com/office/drawing/2014/main" xmlns="" id="{855C5268-25CD-4541-8AAE-938FB7E486C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59" name="TextBox 858">
          <a:extLst>
            <a:ext uri="{FF2B5EF4-FFF2-40B4-BE49-F238E27FC236}">
              <a16:creationId xmlns:a16="http://schemas.microsoft.com/office/drawing/2014/main" xmlns="" id="{9FFA52EE-212D-4428-A02A-5C3D989E540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0" name="TextBox 859">
          <a:extLst>
            <a:ext uri="{FF2B5EF4-FFF2-40B4-BE49-F238E27FC236}">
              <a16:creationId xmlns:a16="http://schemas.microsoft.com/office/drawing/2014/main" xmlns="" id="{B88C8F5B-F48A-4D91-AF48-CF68D819412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1" name="TextBox 860">
          <a:extLst>
            <a:ext uri="{FF2B5EF4-FFF2-40B4-BE49-F238E27FC236}">
              <a16:creationId xmlns:a16="http://schemas.microsoft.com/office/drawing/2014/main" xmlns="" id="{1924F8C6-1B41-482B-9DFF-8B39433C2AA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2" name="TextBox 861">
          <a:extLst>
            <a:ext uri="{FF2B5EF4-FFF2-40B4-BE49-F238E27FC236}">
              <a16:creationId xmlns:a16="http://schemas.microsoft.com/office/drawing/2014/main" xmlns="" id="{5B533B13-9A50-426D-BD3A-F7366408FB3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3" name="TextBox 862">
          <a:extLst>
            <a:ext uri="{FF2B5EF4-FFF2-40B4-BE49-F238E27FC236}">
              <a16:creationId xmlns:a16="http://schemas.microsoft.com/office/drawing/2014/main" xmlns="" id="{4E218074-7D3E-49A5-A39F-5A2AFBEC48A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4" name="TextBox 863">
          <a:extLst>
            <a:ext uri="{FF2B5EF4-FFF2-40B4-BE49-F238E27FC236}">
              <a16:creationId xmlns:a16="http://schemas.microsoft.com/office/drawing/2014/main" xmlns="" id="{C74F4F29-8AB7-4AF6-8A9F-9F8D0DB7B99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5" name="TextBox 864">
          <a:extLst>
            <a:ext uri="{FF2B5EF4-FFF2-40B4-BE49-F238E27FC236}">
              <a16:creationId xmlns:a16="http://schemas.microsoft.com/office/drawing/2014/main" xmlns="" id="{C77F56E0-4F62-4913-8916-DF653B8BE66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6" name="TextBox 865">
          <a:extLst>
            <a:ext uri="{FF2B5EF4-FFF2-40B4-BE49-F238E27FC236}">
              <a16:creationId xmlns:a16="http://schemas.microsoft.com/office/drawing/2014/main" xmlns="" id="{19B7F056-7CFC-49F9-80FC-41018654B85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7" name="TextBox 866">
          <a:extLst>
            <a:ext uri="{FF2B5EF4-FFF2-40B4-BE49-F238E27FC236}">
              <a16:creationId xmlns:a16="http://schemas.microsoft.com/office/drawing/2014/main" xmlns="" id="{D59E1DF9-9F3A-49EC-913C-598DEED2E88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8" name="TextBox 867">
          <a:extLst>
            <a:ext uri="{FF2B5EF4-FFF2-40B4-BE49-F238E27FC236}">
              <a16:creationId xmlns:a16="http://schemas.microsoft.com/office/drawing/2014/main" xmlns="" id="{58A75077-06CC-4DEC-B3FB-604DFD3DE4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69" name="TextBox 868">
          <a:extLst>
            <a:ext uri="{FF2B5EF4-FFF2-40B4-BE49-F238E27FC236}">
              <a16:creationId xmlns:a16="http://schemas.microsoft.com/office/drawing/2014/main" xmlns="" id="{44F37F2A-18AC-457B-898E-C8208BDAC61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0" name="TextBox 869">
          <a:extLst>
            <a:ext uri="{FF2B5EF4-FFF2-40B4-BE49-F238E27FC236}">
              <a16:creationId xmlns:a16="http://schemas.microsoft.com/office/drawing/2014/main" xmlns="" id="{B87FC0D0-E824-465F-968B-8BC4204362F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1" name="TextBox 870">
          <a:extLst>
            <a:ext uri="{FF2B5EF4-FFF2-40B4-BE49-F238E27FC236}">
              <a16:creationId xmlns:a16="http://schemas.microsoft.com/office/drawing/2014/main" xmlns="" id="{B3519A27-67BB-410A-BC43-A43DD148B8F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2" name="TextBox 871">
          <a:extLst>
            <a:ext uri="{FF2B5EF4-FFF2-40B4-BE49-F238E27FC236}">
              <a16:creationId xmlns:a16="http://schemas.microsoft.com/office/drawing/2014/main" xmlns="" id="{0941E7F6-E01E-443C-B425-EFFBD8967C7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3" name="TextBox 872">
          <a:extLst>
            <a:ext uri="{FF2B5EF4-FFF2-40B4-BE49-F238E27FC236}">
              <a16:creationId xmlns:a16="http://schemas.microsoft.com/office/drawing/2014/main" xmlns="" id="{78092DB7-237B-448E-A227-76F8C51530D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4" name="TextBox 873">
          <a:extLst>
            <a:ext uri="{FF2B5EF4-FFF2-40B4-BE49-F238E27FC236}">
              <a16:creationId xmlns:a16="http://schemas.microsoft.com/office/drawing/2014/main" xmlns="" id="{877D17C9-7499-456C-BCF7-B53AB3332DE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5" name="TextBox 874">
          <a:extLst>
            <a:ext uri="{FF2B5EF4-FFF2-40B4-BE49-F238E27FC236}">
              <a16:creationId xmlns:a16="http://schemas.microsoft.com/office/drawing/2014/main" xmlns="" id="{3249CE47-32A9-4BE3-96F9-FF82A9F2643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6" name="TextBox 875">
          <a:extLst>
            <a:ext uri="{FF2B5EF4-FFF2-40B4-BE49-F238E27FC236}">
              <a16:creationId xmlns:a16="http://schemas.microsoft.com/office/drawing/2014/main" xmlns="" id="{D6B2DCC4-B49A-4724-959E-E4B030864C4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7" name="TextBox 876">
          <a:extLst>
            <a:ext uri="{FF2B5EF4-FFF2-40B4-BE49-F238E27FC236}">
              <a16:creationId xmlns:a16="http://schemas.microsoft.com/office/drawing/2014/main" xmlns="" id="{47029E66-F759-4066-8D5E-76CBF0D81EB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8" name="TextBox 877">
          <a:extLst>
            <a:ext uri="{FF2B5EF4-FFF2-40B4-BE49-F238E27FC236}">
              <a16:creationId xmlns:a16="http://schemas.microsoft.com/office/drawing/2014/main" xmlns="" id="{AEB75927-5F33-409D-8237-76C92C5D0C8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79" name="TextBox 878">
          <a:extLst>
            <a:ext uri="{FF2B5EF4-FFF2-40B4-BE49-F238E27FC236}">
              <a16:creationId xmlns:a16="http://schemas.microsoft.com/office/drawing/2014/main" xmlns="" id="{57715321-EC1A-4A9E-88A1-AF9F1CE0E3E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0" name="TextBox 879">
          <a:extLst>
            <a:ext uri="{FF2B5EF4-FFF2-40B4-BE49-F238E27FC236}">
              <a16:creationId xmlns:a16="http://schemas.microsoft.com/office/drawing/2014/main" xmlns="" id="{1F277B71-4B84-46F3-BE2E-05E4C346423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1" name="TextBox 880">
          <a:extLst>
            <a:ext uri="{FF2B5EF4-FFF2-40B4-BE49-F238E27FC236}">
              <a16:creationId xmlns:a16="http://schemas.microsoft.com/office/drawing/2014/main" xmlns="" id="{FF754A5C-6080-4EB7-8C41-35E5C08AC5C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2" name="TextBox 881">
          <a:extLst>
            <a:ext uri="{FF2B5EF4-FFF2-40B4-BE49-F238E27FC236}">
              <a16:creationId xmlns:a16="http://schemas.microsoft.com/office/drawing/2014/main" xmlns="" id="{BF018069-2CA7-4561-AF0B-F51B9118D95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3" name="TextBox 882">
          <a:extLst>
            <a:ext uri="{FF2B5EF4-FFF2-40B4-BE49-F238E27FC236}">
              <a16:creationId xmlns:a16="http://schemas.microsoft.com/office/drawing/2014/main" xmlns="" id="{13F59FEE-5567-48DF-8BA8-BBF103C6E57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4" name="TextBox 883">
          <a:extLst>
            <a:ext uri="{FF2B5EF4-FFF2-40B4-BE49-F238E27FC236}">
              <a16:creationId xmlns:a16="http://schemas.microsoft.com/office/drawing/2014/main" xmlns="" id="{99D369AD-A1EE-43F2-A17E-7C20343D545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5" name="TextBox 884">
          <a:extLst>
            <a:ext uri="{FF2B5EF4-FFF2-40B4-BE49-F238E27FC236}">
              <a16:creationId xmlns:a16="http://schemas.microsoft.com/office/drawing/2014/main" xmlns="" id="{C70F070F-49A5-41D7-A011-EB6F6550755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6" name="TextBox 885">
          <a:extLst>
            <a:ext uri="{FF2B5EF4-FFF2-40B4-BE49-F238E27FC236}">
              <a16:creationId xmlns:a16="http://schemas.microsoft.com/office/drawing/2014/main" xmlns="" id="{CDFC20CB-368C-468E-8CD7-0BFB0F5E8F0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7" name="TextBox 886">
          <a:extLst>
            <a:ext uri="{FF2B5EF4-FFF2-40B4-BE49-F238E27FC236}">
              <a16:creationId xmlns:a16="http://schemas.microsoft.com/office/drawing/2014/main" xmlns="" id="{949A52F3-F0D6-4DF5-B5FE-FB4B784638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8" name="TextBox 887">
          <a:extLst>
            <a:ext uri="{FF2B5EF4-FFF2-40B4-BE49-F238E27FC236}">
              <a16:creationId xmlns:a16="http://schemas.microsoft.com/office/drawing/2014/main" xmlns="" id="{1E4246F7-4D5C-4354-AE0D-084E99608B1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89" name="TextBox 888">
          <a:extLst>
            <a:ext uri="{FF2B5EF4-FFF2-40B4-BE49-F238E27FC236}">
              <a16:creationId xmlns:a16="http://schemas.microsoft.com/office/drawing/2014/main" xmlns="" id="{C9BFFD38-9A99-44A8-BBDF-0A38C5A2FA6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0" name="TextBox 889">
          <a:extLst>
            <a:ext uri="{FF2B5EF4-FFF2-40B4-BE49-F238E27FC236}">
              <a16:creationId xmlns:a16="http://schemas.microsoft.com/office/drawing/2014/main" xmlns="" id="{1AB7A138-5A6A-4980-BAAF-4215B416936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1" name="TextBox 890">
          <a:extLst>
            <a:ext uri="{FF2B5EF4-FFF2-40B4-BE49-F238E27FC236}">
              <a16:creationId xmlns:a16="http://schemas.microsoft.com/office/drawing/2014/main" xmlns="" id="{CD298430-E32D-4EDA-A0D6-65C529D8DFC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2" name="TextBox 891">
          <a:extLst>
            <a:ext uri="{FF2B5EF4-FFF2-40B4-BE49-F238E27FC236}">
              <a16:creationId xmlns:a16="http://schemas.microsoft.com/office/drawing/2014/main" xmlns="" id="{AD7F2533-9A90-452D-BE83-E9108D9D533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3" name="TextBox 892">
          <a:extLst>
            <a:ext uri="{FF2B5EF4-FFF2-40B4-BE49-F238E27FC236}">
              <a16:creationId xmlns:a16="http://schemas.microsoft.com/office/drawing/2014/main" xmlns="" id="{6FD14968-62A1-47C9-BEFB-3A6F17C0016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4" name="TextBox 893">
          <a:extLst>
            <a:ext uri="{FF2B5EF4-FFF2-40B4-BE49-F238E27FC236}">
              <a16:creationId xmlns:a16="http://schemas.microsoft.com/office/drawing/2014/main" xmlns="" id="{55E5BFB5-924F-4355-9050-2C4CB5D2AE7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5" name="TextBox 894">
          <a:extLst>
            <a:ext uri="{FF2B5EF4-FFF2-40B4-BE49-F238E27FC236}">
              <a16:creationId xmlns:a16="http://schemas.microsoft.com/office/drawing/2014/main" xmlns="" id="{271747D7-D16A-4EBE-A84E-0D7C7F9FC9E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6" name="TextBox 895">
          <a:extLst>
            <a:ext uri="{FF2B5EF4-FFF2-40B4-BE49-F238E27FC236}">
              <a16:creationId xmlns:a16="http://schemas.microsoft.com/office/drawing/2014/main" xmlns="" id="{ED272A7D-86BC-4DD5-99FF-8BF2E1EC1D7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7" name="TextBox 896">
          <a:extLst>
            <a:ext uri="{FF2B5EF4-FFF2-40B4-BE49-F238E27FC236}">
              <a16:creationId xmlns:a16="http://schemas.microsoft.com/office/drawing/2014/main" xmlns="" id="{02DC0088-5608-432C-B3C0-EB6B9305C37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8" name="TextBox 897">
          <a:extLst>
            <a:ext uri="{FF2B5EF4-FFF2-40B4-BE49-F238E27FC236}">
              <a16:creationId xmlns:a16="http://schemas.microsoft.com/office/drawing/2014/main" xmlns="" id="{56E18E14-3FA9-4A52-B8EB-950058B3CF0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899" name="TextBox 898">
          <a:extLst>
            <a:ext uri="{FF2B5EF4-FFF2-40B4-BE49-F238E27FC236}">
              <a16:creationId xmlns:a16="http://schemas.microsoft.com/office/drawing/2014/main" xmlns="" id="{B09B8E63-F1B0-438C-9E1B-58E2C6DA04B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0" name="TextBox 899">
          <a:extLst>
            <a:ext uri="{FF2B5EF4-FFF2-40B4-BE49-F238E27FC236}">
              <a16:creationId xmlns:a16="http://schemas.microsoft.com/office/drawing/2014/main" xmlns="" id="{A5AC5B72-03D9-4C78-BACF-DFF4213E2C6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1" name="TextBox 900">
          <a:extLst>
            <a:ext uri="{FF2B5EF4-FFF2-40B4-BE49-F238E27FC236}">
              <a16:creationId xmlns:a16="http://schemas.microsoft.com/office/drawing/2014/main" xmlns="" id="{498D758B-41BE-439B-B802-F2CE7C6CDCC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2" name="TextBox 901">
          <a:extLst>
            <a:ext uri="{FF2B5EF4-FFF2-40B4-BE49-F238E27FC236}">
              <a16:creationId xmlns:a16="http://schemas.microsoft.com/office/drawing/2014/main" xmlns="" id="{3123CDA8-E4CD-48C8-8C8A-41547CCE8A2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3" name="TextBox 902">
          <a:extLst>
            <a:ext uri="{FF2B5EF4-FFF2-40B4-BE49-F238E27FC236}">
              <a16:creationId xmlns:a16="http://schemas.microsoft.com/office/drawing/2014/main" xmlns="" id="{A2E06774-322B-40CC-BBC7-F14D01C3003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4" name="TextBox 903">
          <a:extLst>
            <a:ext uri="{FF2B5EF4-FFF2-40B4-BE49-F238E27FC236}">
              <a16:creationId xmlns:a16="http://schemas.microsoft.com/office/drawing/2014/main" xmlns="" id="{5408170C-1C26-45C0-BE1D-2D1F217D736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5" name="TextBox 904">
          <a:extLst>
            <a:ext uri="{FF2B5EF4-FFF2-40B4-BE49-F238E27FC236}">
              <a16:creationId xmlns:a16="http://schemas.microsoft.com/office/drawing/2014/main" xmlns="" id="{B352A80A-61C2-4AFE-A960-EBD0BD05DD5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6" name="TextBox 905">
          <a:extLst>
            <a:ext uri="{FF2B5EF4-FFF2-40B4-BE49-F238E27FC236}">
              <a16:creationId xmlns:a16="http://schemas.microsoft.com/office/drawing/2014/main" xmlns="" id="{512E55CD-996D-40BE-94DC-7EE2A728455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7" name="TextBox 906">
          <a:extLst>
            <a:ext uri="{FF2B5EF4-FFF2-40B4-BE49-F238E27FC236}">
              <a16:creationId xmlns:a16="http://schemas.microsoft.com/office/drawing/2014/main" xmlns="" id="{C561ED8E-5AB5-4BE6-A498-1B776007FBA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8" name="TextBox 907">
          <a:extLst>
            <a:ext uri="{FF2B5EF4-FFF2-40B4-BE49-F238E27FC236}">
              <a16:creationId xmlns:a16="http://schemas.microsoft.com/office/drawing/2014/main" xmlns="" id="{C87093C5-9753-4361-A149-E2CC119830F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09" name="TextBox 908">
          <a:extLst>
            <a:ext uri="{FF2B5EF4-FFF2-40B4-BE49-F238E27FC236}">
              <a16:creationId xmlns:a16="http://schemas.microsoft.com/office/drawing/2014/main" xmlns="" id="{99541ACB-05B4-469E-ABDC-073F2FE0051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0" name="TextBox 909">
          <a:extLst>
            <a:ext uri="{FF2B5EF4-FFF2-40B4-BE49-F238E27FC236}">
              <a16:creationId xmlns:a16="http://schemas.microsoft.com/office/drawing/2014/main" xmlns="" id="{3EAB95CE-1351-422E-8520-65F435FA0A2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1" name="TextBox 910">
          <a:extLst>
            <a:ext uri="{FF2B5EF4-FFF2-40B4-BE49-F238E27FC236}">
              <a16:creationId xmlns:a16="http://schemas.microsoft.com/office/drawing/2014/main" xmlns="" id="{DC4869AE-D461-4250-8EC8-5CE940E231D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2" name="TextBox 911">
          <a:extLst>
            <a:ext uri="{FF2B5EF4-FFF2-40B4-BE49-F238E27FC236}">
              <a16:creationId xmlns:a16="http://schemas.microsoft.com/office/drawing/2014/main" xmlns="" id="{7775F9E7-26B4-4B88-AEE6-B74E4FAD9F9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3" name="TextBox 912">
          <a:extLst>
            <a:ext uri="{FF2B5EF4-FFF2-40B4-BE49-F238E27FC236}">
              <a16:creationId xmlns:a16="http://schemas.microsoft.com/office/drawing/2014/main" xmlns="" id="{93157916-72C7-4EE6-82E6-3B11F66CDD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4" name="TextBox 913">
          <a:extLst>
            <a:ext uri="{FF2B5EF4-FFF2-40B4-BE49-F238E27FC236}">
              <a16:creationId xmlns:a16="http://schemas.microsoft.com/office/drawing/2014/main" xmlns="" id="{C9EA9C0E-CE3A-4CC0-A2A4-66BA2600A58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5" name="TextBox 914">
          <a:extLst>
            <a:ext uri="{FF2B5EF4-FFF2-40B4-BE49-F238E27FC236}">
              <a16:creationId xmlns:a16="http://schemas.microsoft.com/office/drawing/2014/main" xmlns="" id="{CB1F34AC-8231-4EB7-99B8-0A0A555B897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6" name="TextBox 915">
          <a:extLst>
            <a:ext uri="{FF2B5EF4-FFF2-40B4-BE49-F238E27FC236}">
              <a16:creationId xmlns:a16="http://schemas.microsoft.com/office/drawing/2014/main" xmlns="" id="{7C208996-B5E4-4F93-9EDF-73544D1D912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7" name="TextBox 916">
          <a:extLst>
            <a:ext uri="{FF2B5EF4-FFF2-40B4-BE49-F238E27FC236}">
              <a16:creationId xmlns:a16="http://schemas.microsoft.com/office/drawing/2014/main" xmlns="" id="{C4DF9EB9-5CE4-4B98-AA0C-BD81D89743E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8" name="TextBox 917">
          <a:extLst>
            <a:ext uri="{FF2B5EF4-FFF2-40B4-BE49-F238E27FC236}">
              <a16:creationId xmlns:a16="http://schemas.microsoft.com/office/drawing/2014/main" xmlns="" id="{CF55D02F-6EF5-45F1-959E-9A19EE717F7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19" name="TextBox 918">
          <a:extLst>
            <a:ext uri="{FF2B5EF4-FFF2-40B4-BE49-F238E27FC236}">
              <a16:creationId xmlns:a16="http://schemas.microsoft.com/office/drawing/2014/main" xmlns="" id="{5D603FE4-852C-4845-A0A4-84B6F587F55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0" name="TextBox 919">
          <a:extLst>
            <a:ext uri="{FF2B5EF4-FFF2-40B4-BE49-F238E27FC236}">
              <a16:creationId xmlns:a16="http://schemas.microsoft.com/office/drawing/2014/main" xmlns="" id="{D82C8509-3391-438F-A7DE-3DC96E267EA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1" name="TextBox 920">
          <a:extLst>
            <a:ext uri="{FF2B5EF4-FFF2-40B4-BE49-F238E27FC236}">
              <a16:creationId xmlns:a16="http://schemas.microsoft.com/office/drawing/2014/main" xmlns="" id="{E8E53A5F-CDF4-4FC2-B6F7-46D15D43644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2" name="TextBox 921">
          <a:extLst>
            <a:ext uri="{FF2B5EF4-FFF2-40B4-BE49-F238E27FC236}">
              <a16:creationId xmlns:a16="http://schemas.microsoft.com/office/drawing/2014/main" xmlns="" id="{1BFC2A61-888A-4A3D-B613-43E62E4892D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3" name="TextBox 922">
          <a:extLst>
            <a:ext uri="{FF2B5EF4-FFF2-40B4-BE49-F238E27FC236}">
              <a16:creationId xmlns:a16="http://schemas.microsoft.com/office/drawing/2014/main" xmlns="" id="{3C1F26E8-B338-425A-A57B-18FFA3365DB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4" name="TextBox 923">
          <a:extLst>
            <a:ext uri="{FF2B5EF4-FFF2-40B4-BE49-F238E27FC236}">
              <a16:creationId xmlns:a16="http://schemas.microsoft.com/office/drawing/2014/main" xmlns="" id="{70C5CCF5-2EC5-4FDF-90DA-8680E434808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5" name="TextBox 924">
          <a:extLst>
            <a:ext uri="{FF2B5EF4-FFF2-40B4-BE49-F238E27FC236}">
              <a16:creationId xmlns:a16="http://schemas.microsoft.com/office/drawing/2014/main" xmlns="" id="{82825E22-F1A7-4301-A4EA-299E4FECA15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6" name="TextBox 925">
          <a:extLst>
            <a:ext uri="{FF2B5EF4-FFF2-40B4-BE49-F238E27FC236}">
              <a16:creationId xmlns:a16="http://schemas.microsoft.com/office/drawing/2014/main" xmlns="" id="{9A8B2178-D4B7-402F-9998-4B00C58C148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7" name="TextBox 926">
          <a:extLst>
            <a:ext uri="{FF2B5EF4-FFF2-40B4-BE49-F238E27FC236}">
              <a16:creationId xmlns:a16="http://schemas.microsoft.com/office/drawing/2014/main" xmlns="" id="{9B895D0C-0672-4FDD-B305-7F4D29C6F2D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8" name="TextBox 927">
          <a:extLst>
            <a:ext uri="{FF2B5EF4-FFF2-40B4-BE49-F238E27FC236}">
              <a16:creationId xmlns:a16="http://schemas.microsoft.com/office/drawing/2014/main" xmlns="" id="{C941EFCB-ED75-43B3-84CA-4C3EF5AE20C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29" name="TextBox 928">
          <a:extLst>
            <a:ext uri="{FF2B5EF4-FFF2-40B4-BE49-F238E27FC236}">
              <a16:creationId xmlns:a16="http://schemas.microsoft.com/office/drawing/2014/main" xmlns="" id="{3B318F7F-AF6F-46EF-9ED2-796EBFED4C4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0" name="TextBox 929">
          <a:extLst>
            <a:ext uri="{FF2B5EF4-FFF2-40B4-BE49-F238E27FC236}">
              <a16:creationId xmlns:a16="http://schemas.microsoft.com/office/drawing/2014/main" xmlns="" id="{1585409A-BCAD-422A-B205-BA89B0AFA0D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1" name="TextBox 930">
          <a:extLst>
            <a:ext uri="{FF2B5EF4-FFF2-40B4-BE49-F238E27FC236}">
              <a16:creationId xmlns:a16="http://schemas.microsoft.com/office/drawing/2014/main" xmlns="" id="{FFB2381E-FAD7-4C67-80B8-ADC9421AFA1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2" name="TextBox 931">
          <a:extLst>
            <a:ext uri="{FF2B5EF4-FFF2-40B4-BE49-F238E27FC236}">
              <a16:creationId xmlns:a16="http://schemas.microsoft.com/office/drawing/2014/main" xmlns="" id="{7F98C83B-E54A-44D4-8640-5200DBA7E89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3" name="TextBox 932">
          <a:extLst>
            <a:ext uri="{FF2B5EF4-FFF2-40B4-BE49-F238E27FC236}">
              <a16:creationId xmlns:a16="http://schemas.microsoft.com/office/drawing/2014/main" xmlns="" id="{78858CE6-D0CF-4C4F-B58B-8229F263E2C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4" name="TextBox 933">
          <a:extLst>
            <a:ext uri="{FF2B5EF4-FFF2-40B4-BE49-F238E27FC236}">
              <a16:creationId xmlns:a16="http://schemas.microsoft.com/office/drawing/2014/main" xmlns="" id="{B643A0E9-DEA0-486B-A7AD-13710B0D530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5" name="TextBox 934">
          <a:extLst>
            <a:ext uri="{FF2B5EF4-FFF2-40B4-BE49-F238E27FC236}">
              <a16:creationId xmlns:a16="http://schemas.microsoft.com/office/drawing/2014/main" xmlns="" id="{9AD7E653-D69E-4A24-8249-A9E5E919B79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6" name="TextBox 935">
          <a:extLst>
            <a:ext uri="{FF2B5EF4-FFF2-40B4-BE49-F238E27FC236}">
              <a16:creationId xmlns:a16="http://schemas.microsoft.com/office/drawing/2014/main" xmlns="" id="{AD6526B8-7DD8-4128-ABA3-575F871A542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7" name="TextBox 936">
          <a:extLst>
            <a:ext uri="{FF2B5EF4-FFF2-40B4-BE49-F238E27FC236}">
              <a16:creationId xmlns:a16="http://schemas.microsoft.com/office/drawing/2014/main" xmlns="" id="{0E62EB4F-BCE3-44DB-97C7-E40058F9524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8" name="TextBox 937">
          <a:extLst>
            <a:ext uri="{FF2B5EF4-FFF2-40B4-BE49-F238E27FC236}">
              <a16:creationId xmlns:a16="http://schemas.microsoft.com/office/drawing/2014/main" xmlns="" id="{154C8B63-2DCE-4DEC-8207-1FC1A272E73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39" name="TextBox 938">
          <a:extLst>
            <a:ext uri="{FF2B5EF4-FFF2-40B4-BE49-F238E27FC236}">
              <a16:creationId xmlns:a16="http://schemas.microsoft.com/office/drawing/2014/main" xmlns="" id="{5BFC23FB-295D-488E-BF9B-9A520A0862B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0" name="TextBox 939">
          <a:extLst>
            <a:ext uri="{FF2B5EF4-FFF2-40B4-BE49-F238E27FC236}">
              <a16:creationId xmlns:a16="http://schemas.microsoft.com/office/drawing/2014/main" xmlns="" id="{FE9C6CFD-8B6E-4E86-9264-B5D072FBD1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1" name="TextBox 940">
          <a:extLst>
            <a:ext uri="{FF2B5EF4-FFF2-40B4-BE49-F238E27FC236}">
              <a16:creationId xmlns:a16="http://schemas.microsoft.com/office/drawing/2014/main" xmlns="" id="{7FBB0A06-5CB7-4C97-A265-2D6E318F4ED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2" name="TextBox 941">
          <a:extLst>
            <a:ext uri="{FF2B5EF4-FFF2-40B4-BE49-F238E27FC236}">
              <a16:creationId xmlns:a16="http://schemas.microsoft.com/office/drawing/2014/main" xmlns="" id="{BB240DAF-1351-4F01-B594-402B50B5657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3" name="TextBox 942">
          <a:extLst>
            <a:ext uri="{FF2B5EF4-FFF2-40B4-BE49-F238E27FC236}">
              <a16:creationId xmlns:a16="http://schemas.microsoft.com/office/drawing/2014/main" xmlns="" id="{D0C1F5CB-644B-4900-B0AD-8E6B6F4269F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4" name="TextBox 943">
          <a:extLst>
            <a:ext uri="{FF2B5EF4-FFF2-40B4-BE49-F238E27FC236}">
              <a16:creationId xmlns:a16="http://schemas.microsoft.com/office/drawing/2014/main" xmlns="" id="{BB74CCED-F3C8-4B76-8202-91B1A14D05E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5" name="TextBox 944">
          <a:extLst>
            <a:ext uri="{FF2B5EF4-FFF2-40B4-BE49-F238E27FC236}">
              <a16:creationId xmlns:a16="http://schemas.microsoft.com/office/drawing/2014/main" xmlns="" id="{55A9E35D-0CD2-4CCF-95FF-531EA242256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6" name="TextBox 945">
          <a:extLst>
            <a:ext uri="{FF2B5EF4-FFF2-40B4-BE49-F238E27FC236}">
              <a16:creationId xmlns:a16="http://schemas.microsoft.com/office/drawing/2014/main" xmlns="" id="{264EBC8E-E1F7-4E45-A316-38F8273BFC0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7" name="TextBox 946">
          <a:extLst>
            <a:ext uri="{FF2B5EF4-FFF2-40B4-BE49-F238E27FC236}">
              <a16:creationId xmlns:a16="http://schemas.microsoft.com/office/drawing/2014/main" xmlns="" id="{C62B0A16-E65A-4242-9B8E-F68E104B32F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8" name="TextBox 947">
          <a:extLst>
            <a:ext uri="{FF2B5EF4-FFF2-40B4-BE49-F238E27FC236}">
              <a16:creationId xmlns:a16="http://schemas.microsoft.com/office/drawing/2014/main" xmlns="" id="{0A1D9733-1DF7-435E-9820-0D6295CD2B5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49" name="TextBox 948">
          <a:extLst>
            <a:ext uri="{FF2B5EF4-FFF2-40B4-BE49-F238E27FC236}">
              <a16:creationId xmlns:a16="http://schemas.microsoft.com/office/drawing/2014/main" xmlns="" id="{69DEDBB5-B38B-449D-B5E9-12487A472E6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0" name="TextBox 949">
          <a:extLst>
            <a:ext uri="{FF2B5EF4-FFF2-40B4-BE49-F238E27FC236}">
              <a16:creationId xmlns:a16="http://schemas.microsoft.com/office/drawing/2014/main" xmlns="" id="{38C1092A-EEF0-4C2E-9DCB-11BF86B360D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1" name="TextBox 950">
          <a:extLst>
            <a:ext uri="{FF2B5EF4-FFF2-40B4-BE49-F238E27FC236}">
              <a16:creationId xmlns:a16="http://schemas.microsoft.com/office/drawing/2014/main" xmlns="" id="{E3813DA9-3082-4728-8541-EB33E90AD4E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2" name="TextBox 951">
          <a:extLst>
            <a:ext uri="{FF2B5EF4-FFF2-40B4-BE49-F238E27FC236}">
              <a16:creationId xmlns:a16="http://schemas.microsoft.com/office/drawing/2014/main" xmlns="" id="{85655996-3DB7-4BA0-A31E-A34472D3269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3" name="TextBox 952">
          <a:extLst>
            <a:ext uri="{FF2B5EF4-FFF2-40B4-BE49-F238E27FC236}">
              <a16:creationId xmlns:a16="http://schemas.microsoft.com/office/drawing/2014/main" xmlns="" id="{0228D1F4-B2FD-4B36-A12E-2533170F137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4" name="TextBox 953">
          <a:extLst>
            <a:ext uri="{FF2B5EF4-FFF2-40B4-BE49-F238E27FC236}">
              <a16:creationId xmlns:a16="http://schemas.microsoft.com/office/drawing/2014/main" xmlns="" id="{D6D7A200-8F64-4324-AFD5-D2F56A9F266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5" name="TextBox 954">
          <a:extLst>
            <a:ext uri="{FF2B5EF4-FFF2-40B4-BE49-F238E27FC236}">
              <a16:creationId xmlns:a16="http://schemas.microsoft.com/office/drawing/2014/main" xmlns="" id="{A5A2E935-1507-4D05-8503-26E6B212B28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6" name="TextBox 955">
          <a:extLst>
            <a:ext uri="{FF2B5EF4-FFF2-40B4-BE49-F238E27FC236}">
              <a16:creationId xmlns:a16="http://schemas.microsoft.com/office/drawing/2014/main" xmlns="" id="{58E245DD-5270-4732-9360-78ED025A31A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7" name="TextBox 956">
          <a:extLst>
            <a:ext uri="{FF2B5EF4-FFF2-40B4-BE49-F238E27FC236}">
              <a16:creationId xmlns:a16="http://schemas.microsoft.com/office/drawing/2014/main" xmlns="" id="{386A1D9D-77D6-40BB-A5E4-6E50F172819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8" name="TextBox 957">
          <a:extLst>
            <a:ext uri="{FF2B5EF4-FFF2-40B4-BE49-F238E27FC236}">
              <a16:creationId xmlns:a16="http://schemas.microsoft.com/office/drawing/2014/main" xmlns="" id="{7E6B9D8E-7F77-4135-B19D-C4E829A3CCE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59" name="TextBox 958">
          <a:extLst>
            <a:ext uri="{FF2B5EF4-FFF2-40B4-BE49-F238E27FC236}">
              <a16:creationId xmlns:a16="http://schemas.microsoft.com/office/drawing/2014/main" xmlns="" id="{846B33F9-3736-498F-B463-E8182128E6A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0" name="TextBox 959">
          <a:extLst>
            <a:ext uri="{FF2B5EF4-FFF2-40B4-BE49-F238E27FC236}">
              <a16:creationId xmlns:a16="http://schemas.microsoft.com/office/drawing/2014/main" xmlns="" id="{0E5CA900-6DFD-42EA-A01F-293E2B48BFA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1" name="TextBox 960">
          <a:extLst>
            <a:ext uri="{FF2B5EF4-FFF2-40B4-BE49-F238E27FC236}">
              <a16:creationId xmlns:a16="http://schemas.microsoft.com/office/drawing/2014/main" xmlns="" id="{4544822D-D645-4B7C-B629-C0147A02D6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2" name="TextBox 961">
          <a:extLst>
            <a:ext uri="{FF2B5EF4-FFF2-40B4-BE49-F238E27FC236}">
              <a16:creationId xmlns:a16="http://schemas.microsoft.com/office/drawing/2014/main" xmlns="" id="{E188B0B1-7AF6-4CB7-898C-54C297ACCF9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3" name="TextBox 962">
          <a:extLst>
            <a:ext uri="{FF2B5EF4-FFF2-40B4-BE49-F238E27FC236}">
              <a16:creationId xmlns:a16="http://schemas.microsoft.com/office/drawing/2014/main" xmlns="" id="{2D57B61C-8704-4FC3-887B-471FB239E7D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4" name="TextBox 963">
          <a:extLst>
            <a:ext uri="{FF2B5EF4-FFF2-40B4-BE49-F238E27FC236}">
              <a16:creationId xmlns:a16="http://schemas.microsoft.com/office/drawing/2014/main" xmlns="" id="{C4EF05BE-C7A2-43D4-83E6-27794EFACCB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5" name="TextBox 964">
          <a:extLst>
            <a:ext uri="{FF2B5EF4-FFF2-40B4-BE49-F238E27FC236}">
              <a16:creationId xmlns:a16="http://schemas.microsoft.com/office/drawing/2014/main" xmlns="" id="{5B38D18E-B714-4F0B-AB93-BAECB283616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6" name="TextBox 965">
          <a:extLst>
            <a:ext uri="{FF2B5EF4-FFF2-40B4-BE49-F238E27FC236}">
              <a16:creationId xmlns:a16="http://schemas.microsoft.com/office/drawing/2014/main" xmlns="" id="{F39E3C82-5752-40C2-A929-472FD9EC1E4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7" name="TextBox 966">
          <a:extLst>
            <a:ext uri="{FF2B5EF4-FFF2-40B4-BE49-F238E27FC236}">
              <a16:creationId xmlns:a16="http://schemas.microsoft.com/office/drawing/2014/main" xmlns="" id="{21634317-03A6-4935-92F4-D3731685C7F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8" name="TextBox 967">
          <a:extLst>
            <a:ext uri="{FF2B5EF4-FFF2-40B4-BE49-F238E27FC236}">
              <a16:creationId xmlns:a16="http://schemas.microsoft.com/office/drawing/2014/main" xmlns="" id="{BA510C37-BEDD-4644-8150-1106D11EDC1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69" name="TextBox 968">
          <a:extLst>
            <a:ext uri="{FF2B5EF4-FFF2-40B4-BE49-F238E27FC236}">
              <a16:creationId xmlns:a16="http://schemas.microsoft.com/office/drawing/2014/main" xmlns="" id="{A14C6337-276D-4121-BF62-00EEE9E6737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0" name="TextBox 969">
          <a:extLst>
            <a:ext uri="{FF2B5EF4-FFF2-40B4-BE49-F238E27FC236}">
              <a16:creationId xmlns:a16="http://schemas.microsoft.com/office/drawing/2014/main" xmlns="" id="{E5F3E089-F0D1-4377-80E2-265161DA609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1" name="TextBox 970">
          <a:extLst>
            <a:ext uri="{FF2B5EF4-FFF2-40B4-BE49-F238E27FC236}">
              <a16:creationId xmlns:a16="http://schemas.microsoft.com/office/drawing/2014/main" xmlns="" id="{9C913351-CBBB-4221-8A19-5B4C31BAE3F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2" name="TextBox 971">
          <a:extLst>
            <a:ext uri="{FF2B5EF4-FFF2-40B4-BE49-F238E27FC236}">
              <a16:creationId xmlns:a16="http://schemas.microsoft.com/office/drawing/2014/main" xmlns="" id="{F61AD149-0302-4CB9-A7C5-34057B33B4A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3" name="TextBox 972">
          <a:extLst>
            <a:ext uri="{FF2B5EF4-FFF2-40B4-BE49-F238E27FC236}">
              <a16:creationId xmlns:a16="http://schemas.microsoft.com/office/drawing/2014/main" xmlns="" id="{656AE2A9-7042-46FB-BF49-063A1E3597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4" name="TextBox 973">
          <a:extLst>
            <a:ext uri="{FF2B5EF4-FFF2-40B4-BE49-F238E27FC236}">
              <a16:creationId xmlns:a16="http://schemas.microsoft.com/office/drawing/2014/main" xmlns="" id="{C4350ECB-5ABB-4456-A990-48CAC1CC7B8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5" name="TextBox 974">
          <a:extLst>
            <a:ext uri="{FF2B5EF4-FFF2-40B4-BE49-F238E27FC236}">
              <a16:creationId xmlns:a16="http://schemas.microsoft.com/office/drawing/2014/main" xmlns="" id="{C5E6BFA7-EA45-4F5F-A974-C5716102283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6" name="TextBox 975">
          <a:extLst>
            <a:ext uri="{FF2B5EF4-FFF2-40B4-BE49-F238E27FC236}">
              <a16:creationId xmlns:a16="http://schemas.microsoft.com/office/drawing/2014/main" xmlns="" id="{3CA94DB8-FE22-4109-9586-0DC6D502893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7" name="TextBox 976">
          <a:extLst>
            <a:ext uri="{FF2B5EF4-FFF2-40B4-BE49-F238E27FC236}">
              <a16:creationId xmlns:a16="http://schemas.microsoft.com/office/drawing/2014/main" xmlns="" id="{34F61419-DF52-4028-A83F-0B08B0A5473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8" name="TextBox 977">
          <a:extLst>
            <a:ext uri="{FF2B5EF4-FFF2-40B4-BE49-F238E27FC236}">
              <a16:creationId xmlns:a16="http://schemas.microsoft.com/office/drawing/2014/main" xmlns="" id="{2A931150-F42B-4945-9C98-72604ABD7DE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79" name="TextBox 978">
          <a:extLst>
            <a:ext uri="{FF2B5EF4-FFF2-40B4-BE49-F238E27FC236}">
              <a16:creationId xmlns:a16="http://schemas.microsoft.com/office/drawing/2014/main" xmlns="" id="{B31B8E78-61C4-40CD-9DA9-A79DF7F8DE6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0" name="TextBox 979">
          <a:extLst>
            <a:ext uri="{FF2B5EF4-FFF2-40B4-BE49-F238E27FC236}">
              <a16:creationId xmlns:a16="http://schemas.microsoft.com/office/drawing/2014/main" xmlns="" id="{3E81B7F5-F3CD-4479-B506-2E88CBC6C64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1" name="TextBox 980">
          <a:extLst>
            <a:ext uri="{FF2B5EF4-FFF2-40B4-BE49-F238E27FC236}">
              <a16:creationId xmlns:a16="http://schemas.microsoft.com/office/drawing/2014/main" xmlns="" id="{156B05DE-5C8C-4025-A023-3570E4B9F86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2" name="TextBox 981">
          <a:extLst>
            <a:ext uri="{FF2B5EF4-FFF2-40B4-BE49-F238E27FC236}">
              <a16:creationId xmlns:a16="http://schemas.microsoft.com/office/drawing/2014/main" xmlns="" id="{2AAC73D1-5EDA-4A9C-BFB7-4C85E20E126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3" name="TextBox 982">
          <a:extLst>
            <a:ext uri="{FF2B5EF4-FFF2-40B4-BE49-F238E27FC236}">
              <a16:creationId xmlns:a16="http://schemas.microsoft.com/office/drawing/2014/main" xmlns="" id="{55ABB9CE-5482-4D44-B659-F05046805DA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4" name="TextBox 983">
          <a:extLst>
            <a:ext uri="{FF2B5EF4-FFF2-40B4-BE49-F238E27FC236}">
              <a16:creationId xmlns:a16="http://schemas.microsoft.com/office/drawing/2014/main" xmlns="" id="{C0B9780C-3ABB-4EAA-9515-5C55F2259F0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5" name="TextBox 984">
          <a:extLst>
            <a:ext uri="{FF2B5EF4-FFF2-40B4-BE49-F238E27FC236}">
              <a16:creationId xmlns:a16="http://schemas.microsoft.com/office/drawing/2014/main" xmlns="" id="{D301F8E2-F9F4-4CB1-89AE-F1BB3909DE5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6" name="TextBox 985">
          <a:extLst>
            <a:ext uri="{FF2B5EF4-FFF2-40B4-BE49-F238E27FC236}">
              <a16:creationId xmlns:a16="http://schemas.microsoft.com/office/drawing/2014/main" xmlns="" id="{D601528D-89EA-41C3-B22F-D64FEABED9C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7" name="TextBox 986">
          <a:extLst>
            <a:ext uri="{FF2B5EF4-FFF2-40B4-BE49-F238E27FC236}">
              <a16:creationId xmlns:a16="http://schemas.microsoft.com/office/drawing/2014/main" xmlns="" id="{EFA79A00-6F43-4189-A334-6AC06C93B31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8" name="TextBox 987">
          <a:extLst>
            <a:ext uri="{FF2B5EF4-FFF2-40B4-BE49-F238E27FC236}">
              <a16:creationId xmlns:a16="http://schemas.microsoft.com/office/drawing/2014/main" xmlns="" id="{65211427-ABE5-4205-A360-DCDC3E2AF2B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89" name="TextBox 988">
          <a:extLst>
            <a:ext uri="{FF2B5EF4-FFF2-40B4-BE49-F238E27FC236}">
              <a16:creationId xmlns:a16="http://schemas.microsoft.com/office/drawing/2014/main" xmlns="" id="{DFF9AFE6-0525-4EA3-9375-9D25B578EFD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0" name="TextBox 989">
          <a:extLst>
            <a:ext uri="{FF2B5EF4-FFF2-40B4-BE49-F238E27FC236}">
              <a16:creationId xmlns:a16="http://schemas.microsoft.com/office/drawing/2014/main" xmlns="" id="{460EC06D-AD86-4C14-8A9D-365D549ACEC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1" name="TextBox 990">
          <a:extLst>
            <a:ext uri="{FF2B5EF4-FFF2-40B4-BE49-F238E27FC236}">
              <a16:creationId xmlns:a16="http://schemas.microsoft.com/office/drawing/2014/main" xmlns="" id="{2EF0996D-398B-47CB-8194-31E03642AF0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2" name="TextBox 991">
          <a:extLst>
            <a:ext uri="{FF2B5EF4-FFF2-40B4-BE49-F238E27FC236}">
              <a16:creationId xmlns:a16="http://schemas.microsoft.com/office/drawing/2014/main" xmlns="" id="{6251F618-24BB-4CCA-8C52-ECA5D89B8AD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3" name="TextBox 992">
          <a:extLst>
            <a:ext uri="{FF2B5EF4-FFF2-40B4-BE49-F238E27FC236}">
              <a16:creationId xmlns:a16="http://schemas.microsoft.com/office/drawing/2014/main" xmlns="" id="{C4A76B48-4989-40BA-9E8F-6E0711CF2AC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4" name="TextBox 993">
          <a:extLst>
            <a:ext uri="{FF2B5EF4-FFF2-40B4-BE49-F238E27FC236}">
              <a16:creationId xmlns:a16="http://schemas.microsoft.com/office/drawing/2014/main" xmlns="" id="{51E4A0CA-CA46-4EF9-9AEE-D9D8E27B26E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5" name="TextBox 994">
          <a:extLst>
            <a:ext uri="{FF2B5EF4-FFF2-40B4-BE49-F238E27FC236}">
              <a16:creationId xmlns:a16="http://schemas.microsoft.com/office/drawing/2014/main" xmlns="" id="{991339A6-FCF3-458D-A1F5-4844951FDF3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6" name="TextBox 995">
          <a:extLst>
            <a:ext uri="{FF2B5EF4-FFF2-40B4-BE49-F238E27FC236}">
              <a16:creationId xmlns:a16="http://schemas.microsoft.com/office/drawing/2014/main" xmlns="" id="{D99232F3-A593-4FF6-9158-F1C67938406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7" name="TextBox 996">
          <a:extLst>
            <a:ext uri="{FF2B5EF4-FFF2-40B4-BE49-F238E27FC236}">
              <a16:creationId xmlns:a16="http://schemas.microsoft.com/office/drawing/2014/main" xmlns="" id="{470579AC-43FB-4EFA-B254-FAE1417752F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8" name="TextBox 997">
          <a:extLst>
            <a:ext uri="{FF2B5EF4-FFF2-40B4-BE49-F238E27FC236}">
              <a16:creationId xmlns:a16="http://schemas.microsoft.com/office/drawing/2014/main" xmlns="" id="{1F8A5D37-77B3-4CE3-9591-140345DEED6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999" name="TextBox 998">
          <a:extLst>
            <a:ext uri="{FF2B5EF4-FFF2-40B4-BE49-F238E27FC236}">
              <a16:creationId xmlns:a16="http://schemas.microsoft.com/office/drawing/2014/main" xmlns="" id="{A80A7C1C-1C0F-4850-958D-E9C6105AFD3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0" name="TextBox 999">
          <a:extLst>
            <a:ext uri="{FF2B5EF4-FFF2-40B4-BE49-F238E27FC236}">
              <a16:creationId xmlns:a16="http://schemas.microsoft.com/office/drawing/2014/main" xmlns="" id="{6AEA99F9-EF06-4D65-9209-0F1B0BD3437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1" name="TextBox 1000">
          <a:extLst>
            <a:ext uri="{FF2B5EF4-FFF2-40B4-BE49-F238E27FC236}">
              <a16:creationId xmlns:a16="http://schemas.microsoft.com/office/drawing/2014/main" xmlns="" id="{211AD1EB-EEBD-4103-B0AA-AA8017F16BC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2" name="TextBox 1001">
          <a:extLst>
            <a:ext uri="{FF2B5EF4-FFF2-40B4-BE49-F238E27FC236}">
              <a16:creationId xmlns:a16="http://schemas.microsoft.com/office/drawing/2014/main" xmlns="" id="{FF9CABBA-0A3D-4D19-88F5-0C32AAF6810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3" name="TextBox 1002">
          <a:extLst>
            <a:ext uri="{FF2B5EF4-FFF2-40B4-BE49-F238E27FC236}">
              <a16:creationId xmlns:a16="http://schemas.microsoft.com/office/drawing/2014/main" xmlns="" id="{B7A4F8C1-11A7-4F82-B637-EF94B9B198C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4" name="TextBox 1003">
          <a:extLst>
            <a:ext uri="{FF2B5EF4-FFF2-40B4-BE49-F238E27FC236}">
              <a16:creationId xmlns:a16="http://schemas.microsoft.com/office/drawing/2014/main" xmlns="" id="{4C783866-A070-4666-B28E-AAF9E02BCC1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5" name="TextBox 1004">
          <a:extLst>
            <a:ext uri="{FF2B5EF4-FFF2-40B4-BE49-F238E27FC236}">
              <a16:creationId xmlns:a16="http://schemas.microsoft.com/office/drawing/2014/main" xmlns="" id="{A66D05A4-4987-4B6C-A15B-8D4CC8F0401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6" name="TextBox 1005">
          <a:extLst>
            <a:ext uri="{FF2B5EF4-FFF2-40B4-BE49-F238E27FC236}">
              <a16:creationId xmlns:a16="http://schemas.microsoft.com/office/drawing/2014/main" xmlns="" id="{1CCE09B5-D6D7-465E-92DA-4AAE5610C0E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7" name="TextBox 1006">
          <a:extLst>
            <a:ext uri="{FF2B5EF4-FFF2-40B4-BE49-F238E27FC236}">
              <a16:creationId xmlns:a16="http://schemas.microsoft.com/office/drawing/2014/main" xmlns="" id="{6681262B-3F13-4D55-A5FC-518A6B2DB29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8" name="TextBox 1007">
          <a:extLst>
            <a:ext uri="{FF2B5EF4-FFF2-40B4-BE49-F238E27FC236}">
              <a16:creationId xmlns:a16="http://schemas.microsoft.com/office/drawing/2014/main" xmlns="" id="{6B982A5D-01F4-4DE2-B50A-431CA381BD9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09" name="TextBox 1008">
          <a:extLst>
            <a:ext uri="{FF2B5EF4-FFF2-40B4-BE49-F238E27FC236}">
              <a16:creationId xmlns:a16="http://schemas.microsoft.com/office/drawing/2014/main" xmlns="" id="{FCFEBE6E-0B9D-464C-878F-1D2270E497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0" name="TextBox 1009">
          <a:extLst>
            <a:ext uri="{FF2B5EF4-FFF2-40B4-BE49-F238E27FC236}">
              <a16:creationId xmlns:a16="http://schemas.microsoft.com/office/drawing/2014/main" xmlns="" id="{776260B3-D725-445C-9C49-D0AC593E559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1" name="TextBox 1010">
          <a:extLst>
            <a:ext uri="{FF2B5EF4-FFF2-40B4-BE49-F238E27FC236}">
              <a16:creationId xmlns:a16="http://schemas.microsoft.com/office/drawing/2014/main" xmlns="" id="{B77DDBB5-1AF4-4737-A3B8-9ECE3B82FF3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2" name="TextBox 1011">
          <a:extLst>
            <a:ext uri="{FF2B5EF4-FFF2-40B4-BE49-F238E27FC236}">
              <a16:creationId xmlns:a16="http://schemas.microsoft.com/office/drawing/2014/main" xmlns="" id="{21F92F9E-F0C7-4067-BD8F-57A21CE9164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3" name="TextBox 1012">
          <a:extLst>
            <a:ext uri="{FF2B5EF4-FFF2-40B4-BE49-F238E27FC236}">
              <a16:creationId xmlns:a16="http://schemas.microsoft.com/office/drawing/2014/main" xmlns="" id="{EFBA914D-A789-4D29-87B2-3891D008C66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4" name="TextBox 1013">
          <a:extLst>
            <a:ext uri="{FF2B5EF4-FFF2-40B4-BE49-F238E27FC236}">
              <a16:creationId xmlns:a16="http://schemas.microsoft.com/office/drawing/2014/main" xmlns="" id="{07164915-A66D-42CB-A610-F2DA8870EBD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5" name="TextBox 1014">
          <a:extLst>
            <a:ext uri="{FF2B5EF4-FFF2-40B4-BE49-F238E27FC236}">
              <a16:creationId xmlns:a16="http://schemas.microsoft.com/office/drawing/2014/main" xmlns="" id="{466FED55-81B5-451A-BD1C-4FBE57FF639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6" name="TextBox 1015">
          <a:extLst>
            <a:ext uri="{FF2B5EF4-FFF2-40B4-BE49-F238E27FC236}">
              <a16:creationId xmlns:a16="http://schemas.microsoft.com/office/drawing/2014/main" xmlns="" id="{099196B9-4282-465A-B8C1-8EEF796C3A6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7" name="TextBox 1016">
          <a:extLst>
            <a:ext uri="{FF2B5EF4-FFF2-40B4-BE49-F238E27FC236}">
              <a16:creationId xmlns:a16="http://schemas.microsoft.com/office/drawing/2014/main" xmlns="" id="{ED66D577-3B57-4D82-BA8C-9714ED04DD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8" name="TextBox 1017">
          <a:extLst>
            <a:ext uri="{FF2B5EF4-FFF2-40B4-BE49-F238E27FC236}">
              <a16:creationId xmlns:a16="http://schemas.microsoft.com/office/drawing/2014/main" xmlns="" id="{FF3761AA-FAB1-4033-A1E2-78E5C9CDB09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19" name="TextBox 1018">
          <a:extLst>
            <a:ext uri="{FF2B5EF4-FFF2-40B4-BE49-F238E27FC236}">
              <a16:creationId xmlns:a16="http://schemas.microsoft.com/office/drawing/2014/main" xmlns="" id="{FC23EA4B-DCEB-4E7D-9540-F4DA8A56DD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0" name="TextBox 1019">
          <a:extLst>
            <a:ext uri="{FF2B5EF4-FFF2-40B4-BE49-F238E27FC236}">
              <a16:creationId xmlns:a16="http://schemas.microsoft.com/office/drawing/2014/main" xmlns="" id="{F1D96705-5C4D-4754-86DB-D1C7A324325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1" name="TextBox 1020">
          <a:extLst>
            <a:ext uri="{FF2B5EF4-FFF2-40B4-BE49-F238E27FC236}">
              <a16:creationId xmlns:a16="http://schemas.microsoft.com/office/drawing/2014/main" xmlns="" id="{E50D5380-2F6E-463B-BCD7-0BBB38772E1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2" name="TextBox 1021">
          <a:extLst>
            <a:ext uri="{FF2B5EF4-FFF2-40B4-BE49-F238E27FC236}">
              <a16:creationId xmlns:a16="http://schemas.microsoft.com/office/drawing/2014/main" xmlns="" id="{CED81064-066E-4197-A28A-6976B46218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3" name="TextBox 1022">
          <a:extLst>
            <a:ext uri="{FF2B5EF4-FFF2-40B4-BE49-F238E27FC236}">
              <a16:creationId xmlns:a16="http://schemas.microsoft.com/office/drawing/2014/main" xmlns="" id="{43CB1A36-F7EC-4C97-8BDA-C96F8869CE4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4" name="TextBox 1023">
          <a:extLst>
            <a:ext uri="{FF2B5EF4-FFF2-40B4-BE49-F238E27FC236}">
              <a16:creationId xmlns:a16="http://schemas.microsoft.com/office/drawing/2014/main" xmlns="" id="{0262F96C-6C8B-454D-BFAD-187FB6072C7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5" name="TextBox 1024">
          <a:extLst>
            <a:ext uri="{FF2B5EF4-FFF2-40B4-BE49-F238E27FC236}">
              <a16:creationId xmlns:a16="http://schemas.microsoft.com/office/drawing/2014/main" xmlns="" id="{B870D799-7788-40CA-B439-114C4F5A96E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6" name="TextBox 1025">
          <a:extLst>
            <a:ext uri="{FF2B5EF4-FFF2-40B4-BE49-F238E27FC236}">
              <a16:creationId xmlns:a16="http://schemas.microsoft.com/office/drawing/2014/main" xmlns="" id="{4F490958-AF57-4F96-AE6D-64ECBF0E73C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7" name="TextBox 1026">
          <a:extLst>
            <a:ext uri="{FF2B5EF4-FFF2-40B4-BE49-F238E27FC236}">
              <a16:creationId xmlns:a16="http://schemas.microsoft.com/office/drawing/2014/main" xmlns="" id="{E195D245-DCB6-4E32-A5AB-47D90FB3DF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8" name="TextBox 1027">
          <a:extLst>
            <a:ext uri="{FF2B5EF4-FFF2-40B4-BE49-F238E27FC236}">
              <a16:creationId xmlns:a16="http://schemas.microsoft.com/office/drawing/2014/main" xmlns="" id="{55FE4875-C19B-415E-945D-1B866F0B818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29" name="TextBox 1028">
          <a:extLst>
            <a:ext uri="{FF2B5EF4-FFF2-40B4-BE49-F238E27FC236}">
              <a16:creationId xmlns:a16="http://schemas.microsoft.com/office/drawing/2014/main" xmlns="" id="{95ECB5FC-0426-4D98-93CB-1ED847281EF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0" name="TextBox 1029">
          <a:extLst>
            <a:ext uri="{FF2B5EF4-FFF2-40B4-BE49-F238E27FC236}">
              <a16:creationId xmlns:a16="http://schemas.microsoft.com/office/drawing/2014/main" xmlns="" id="{6B70065E-6500-44CE-A492-E6083E84BD0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1" name="TextBox 1030">
          <a:extLst>
            <a:ext uri="{FF2B5EF4-FFF2-40B4-BE49-F238E27FC236}">
              <a16:creationId xmlns:a16="http://schemas.microsoft.com/office/drawing/2014/main" xmlns="" id="{06F95E88-7F10-48CC-BC6F-BF58E9B4302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2" name="TextBox 1031">
          <a:extLst>
            <a:ext uri="{FF2B5EF4-FFF2-40B4-BE49-F238E27FC236}">
              <a16:creationId xmlns:a16="http://schemas.microsoft.com/office/drawing/2014/main" xmlns="" id="{91409B05-1C23-4032-9E83-D92DAB3F2F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3" name="TextBox 1032">
          <a:extLst>
            <a:ext uri="{FF2B5EF4-FFF2-40B4-BE49-F238E27FC236}">
              <a16:creationId xmlns:a16="http://schemas.microsoft.com/office/drawing/2014/main" xmlns="" id="{A1FC0BFF-B3C0-4A9F-A547-6DA30A22747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4" name="TextBox 1033">
          <a:extLst>
            <a:ext uri="{FF2B5EF4-FFF2-40B4-BE49-F238E27FC236}">
              <a16:creationId xmlns:a16="http://schemas.microsoft.com/office/drawing/2014/main" xmlns="" id="{B4C1F837-A231-4C67-AD12-4649EF940F4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5" name="TextBox 1034">
          <a:extLst>
            <a:ext uri="{FF2B5EF4-FFF2-40B4-BE49-F238E27FC236}">
              <a16:creationId xmlns:a16="http://schemas.microsoft.com/office/drawing/2014/main" xmlns="" id="{B36C081F-35F0-4444-AE36-522A269F97A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6" name="TextBox 1035">
          <a:extLst>
            <a:ext uri="{FF2B5EF4-FFF2-40B4-BE49-F238E27FC236}">
              <a16:creationId xmlns:a16="http://schemas.microsoft.com/office/drawing/2014/main" xmlns="" id="{0CE54DDB-F12F-4920-9548-B307875C2DE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7" name="TextBox 1036">
          <a:extLst>
            <a:ext uri="{FF2B5EF4-FFF2-40B4-BE49-F238E27FC236}">
              <a16:creationId xmlns:a16="http://schemas.microsoft.com/office/drawing/2014/main" xmlns="" id="{7226FBDD-079D-4A83-BC63-38ED27A766D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8" name="TextBox 1037">
          <a:extLst>
            <a:ext uri="{FF2B5EF4-FFF2-40B4-BE49-F238E27FC236}">
              <a16:creationId xmlns:a16="http://schemas.microsoft.com/office/drawing/2014/main" xmlns="" id="{EAC354BB-0751-4C58-B681-159DFAA9101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39" name="TextBox 1038">
          <a:extLst>
            <a:ext uri="{FF2B5EF4-FFF2-40B4-BE49-F238E27FC236}">
              <a16:creationId xmlns:a16="http://schemas.microsoft.com/office/drawing/2014/main" xmlns="" id="{F9B06904-E5EE-4E55-9F27-648CC5D6E74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0" name="TextBox 1039">
          <a:extLst>
            <a:ext uri="{FF2B5EF4-FFF2-40B4-BE49-F238E27FC236}">
              <a16:creationId xmlns:a16="http://schemas.microsoft.com/office/drawing/2014/main" xmlns="" id="{78AE7F47-0214-433C-90E2-C78AD26F2E6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1" name="TextBox 1040">
          <a:extLst>
            <a:ext uri="{FF2B5EF4-FFF2-40B4-BE49-F238E27FC236}">
              <a16:creationId xmlns:a16="http://schemas.microsoft.com/office/drawing/2014/main" xmlns="" id="{277F4500-D236-4886-BC06-3FC8CBD876D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2" name="TextBox 1041">
          <a:extLst>
            <a:ext uri="{FF2B5EF4-FFF2-40B4-BE49-F238E27FC236}">
              <a16:creationId xmlns:a16="http://schemas.microsoft.com/office/drawing/2014/main" xmlns="" id="{6391EA20-277D-43B8-921B-73AF484FF52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3" name="TextBox 1042">
          <a:extLst>
            <a:ext uri="{FF2B5EF4-FFF2-40B4-BE49-F238E27FC236}">
              <a16:creationId xmlns:a16="http://schemas.microsoft.com/office/drawing/2014/main" xmlns="" id="{B9E6C66A-EB06-43C1-A416-D922BD8AA56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4" name="TextBox 1043">
          <a:extLst>
            <a:ext uri="{FF2B5EF4-FFF2-40B4-BE49-F238E27FC236}">
              <a16:creationId xmlns:a16="http://schemas.microsoft.com/office/drawing/2014/main" xmlns="" id="{5C10BC5F-2435-4C67-BF4D-F9C1DB5079D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5" name="TextBox 1044">
          <a:extLst>
            <a:ext uri="{FF2B5EF4-FFF2-40B4-BE49-F238E27FC236}">
              <a16:creationId xmlns:a16="http://schemas.microsoft.com/office/drawing/2014/main" xmlns="" id="{2E9A1BAF-290A-48D4-9476-136B508CDDC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6" name="TextBox 1045">
          <a:extLst>
            <a:ext uri="{FF2B5EF4-FFF2-40B4-BE49-F238E27FC236}">
              <a16:creationId xmlns:a16="http://schemas.microsoft.com/office/drawing/2014/main" xmlns="" id="{B430D500-B71F-4423-9892-EA3BE8A961A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7" name="TextBox 1046">
          <a:extLst>
            <a:ext uri="{FF2B5EF4-FFF2-40B4-BE49-F238E27FC236}">
              <a16:creationId xmlns:a16="http://schemas.microsoft.com/office/drawing/2014/main" xmlns="" id="{671B9D51-DD36-49CF-BDC5-C3C401A3C9C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8" name="TextBox 1047">
          <a:extLst>
            <a:ext uri="{FF2B5EF4-FFF2-40B4-BE49-F238E27FC236}">
              <a16:creationId xmlns:a16="http://schemas.microsoft.com/office/drawing/2014/main" xmlns="" id="{49F78E69-EF8B-4A8C-8095-35EF105E4EA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49" name="TextBox 1048">
          <a:extLst>
            <a:ext uri="{FF2B5EF4-FFF2-40B4-BE49-F238E27FC236}">
              <a16:creationId xmlns:a16="http://schemas.microsoft.com/office/drawing/2014/main" xmlns="" id="{63FDF1F1-0387-4E49-B8C8-AF8AD31D571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0" name="TextBox 1049">
          <a:extLst>
            <a:ext uri="{FF2B5EF4-FFF2-40B4-BE49-F238E27FC236}">
              <a16:creationId xmlns:a16="http://schemas.microsoft.com/office/drawing/2014/main" xmlns="" id="{C121BFF2-3AD3-41E9-9499-39F3804FBE1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1" name="TextBox 1050">
          <a:extLst>
            <a:ext uri="{FF2B5EF4-FFF2-40B4-BE49-F238E27FC236}">
              <a16:creationId xmlns:a16="http://schemas.microsoft.com/office/drawing/2014/main" xmlns="" id="{479EC1A1-9B13-469A-BB34-CD0ECEECCA8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2" name="TextBox 1051">
          <a:extLst>
            <a:ext uri="{FF2B5EF4-FFF2-40B4-BE49-F238E27FC236}">
              <a16:creationId xmlns:a16="http://schemas.microsoft.com/office/drawing/2014/main" xmlns="" id="{49F81E82-CA5E-48AC-8E10-26E4C0336F7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3" name="TextBox 1052">
          <a:extLst>
            <a:ext uri="{FF2B5EF4-FFF2-40B4-BE49-F238E27FC236}">
              <a16:creationId xmlns:a16="http://schemas.microsoft.com/office/drawing/2014/main" xmlns="" id="{4EC2F988-7FB5-49CC-BE08-33B300949C7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4" name="TextBox 1053">
          <a:extLst>
            <a:ext uri="{FF2B5EF4-FFF2-40B4-BE49-F238E27FC236}">
              <a16:creationId xmlns:a16="http://schemas.microsoft.com/office/drawing/2014/main" xmlns="" id="{CFA74B91-B6A0-4D23-84CA-E37ED22B394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5" name="TextBox 1054">
          <a:extLst>
            <a:ext uri="{FF2B5EF4-FFF2-40B4-BE49-F238E27FC236}">
              <a16:creationId xmlns:a16="http://schemas.microsoft.com/office/drawing/2014/main" xmlns="" id="{D036CF4E-2171-410F-9328-784442DCD62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6" name="TextBox 1055">
          <a:extLst>
            <a:ext uri="{FF2B5EF4-FFF2-40B4-BE49-F238E27FC236}">
              <a16:creationId xmlns:a16="http://schemas.microsoft.com/office/drawing/2014/main" xmlns="" id="{1D3A16E8-3483-4882-A2D8-872D0ABAA9E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7" name="TextBox 1056">
          <a:extLst>
            <a:ext uri="{FF2B5EF4-FFF2-40B4-BE49-F238E27FC236}">
              <a16:creationId xmlns:a16="http://schemas.microsoft.com/office/drawing/2014/main" xmlns="" id="{19CE5E37-E1BF-4950-84DA-BA7E55235C3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8" name="TextBox 1057">
          <a:extLst>
            <a:ext uri="{FF2B5EF4-FFF2-40B4-BE49-F238E27FC236}">
              <a16:creationId xmlns:a16="http://schemas.microsoft.com/office/drawing/2014/main" xmlns="" id="{7AFEAE5E-680F-4AA0-887D-6D79ACA34E2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59" name="TextBox 1058">
          <a:extLst>
            <a:ext uri="{FF2B5EF4-FFF2-40B4-BE49-F238E27FC236}">
              <a16:creationId xmlns:a16="http://schemas.microsoft.com/office/drawing/2014/main" xmlns="" id="{1E042517-69F7-4530-AA2C-77338DAB516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0" name="TextBox 1059">
          <a:extLst>
            <a:ext uri="{FF2B5EF4-FFF2-40B4-BE49-F238E27FC236}">
              <a16:creationId xmlns:a16="http://schemas.microsoft.com/office/drawing/2014/main" xmlns="" id="{6EF15504-9A81-4F63-8F4A-572782C362F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1" name="TextBox 1060">
          <a:extLst>
            <a:ext uri="{FF2B5EF4-FFF2-40B4-BE49-F238E27FC236}">
              <a16:creationId xmlns:a16="http://schemas.microsoft.com/office/drawing/2014/main" xmlns="" id="{1AB89475-47CE-4B75-B2D4-DC07B85C1EB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2" name="TextBox 1061">
          <a:extLst>
            <a:ext uri="{FF2B5EF4-FFF2-40B4-BE49-F238E27FC236}">
              <a16:creationId xmlns:a16="http://schemas.microsoft.com/office/drawing/2014/main" xmlns="" id="{08F91B5F-8981-4209-B839-2DE12B4A7C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3" name="TextBox 1062">
          <a:extLst>
            <a:ext uri="{FF2B5EF4-FFF2-40B4-BE49-F238E27FC236}">
              <a16:creationId xmlns:a16="http://schemas.microsoft.com/office/drawing/2014/main" xmlns="" id="{972235B3-ACB5-4E0C-B444-1159EBC0996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4" name="TextBox 1063">
          <a:extLst>
            <a:ext uri="{FF2B5EF4-FFF2-40B4-BE49-F238E27FC236}">
              <a16:creationId xmlns:a16="http://schemas.microsoft.com/office/drawing/2014/main" xmlns="" id="{999E4C7A-AD17-46F2-A492-1162C7D1D5F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5" name="TextBox 1064">
          <a:extLst>
            <a:ext uri="{FF2B5EF4-FFF2-40B4-BE49-F238E27FC236}">
              <a16:creationId xmlns:a16="http://schemas.microsoft.com/office/drawing/2014/main" xmlns="" id="{0CBF7C84-6599-4D1B-9786-B6399A1F3B0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6" name="TextBox 1065">
          <a:extLst>
            <a:ext uri="{FF2B5EF4-FFF2-40B4-BE49-F238E27FC236}">
              <a16:creationId xmlns:a16="http://schemas.microsoft.com/office/drawing/2014/main" xmlns="" id="{53312470-517B-4D3B-9788-36F6D090A17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7" name="TextBox 1066">
          <a:extLst>
            <a:ext uri="{FF2B5EF4-FFF2-40B4-BE49-F238E27FC236}">
              <a16:creationId xmlns:a16="http://schemas.microsoft.com/office/drawing/2014/main" xmlns="" id="{6342EB5B-5DD4-459F-9461-6F5C58F12D5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8" name="TextBox 1067">
          <a:extLst>
            <a:ext uri="{FF2B5EF4-FFF2-40B4-BE49-F238E27FC236}">
              <a16:creationId xmlns:a16="http://schemas.microsoft.com/office/drawing/2014/main" xmlns="" id="{2041E176-D4CE-48F1-8AEB-97EAD6100CC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69" name="TextBox 1068">
          <a:extLst>
            <a:ext uri="{FF2B5EF4-FFF2-40B4-BE49-F238E27FC236}">
              <a16:creationId xmlns:a16="http://schemas.microsoft.com/office/drawing/2014/main" xmlns="" id="{48F7291E-C24D-4F02-B86D-751A12CB051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0" name="TextBox 1069">
          <a:extLst>
            <a:ext uri="{FF2B5EF4-FFF2-40B4-BE49-F238E27FC236}">
              <a16:creationId xmlns:a16="http://schemas.microsoft.com/office/drawing/2014/main" xmlns="" id="{508E674B-D426-4A86-9A05-6480E15C0840}"/>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1" name="TextBox 1070">
          <a:extLst>
            <a:ext uri="{FF2B5EF4-FFF2-40B4-BE49-F238E27FC236}">
              <a16:creationId xmlns:a16="http://schemas.microsoft.com/office/drawing/2014/main" xmlns="" id="{ED80D9C1-BF93-4524-8560-B5C230DF5E9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2" name="TextBox 1071">
          <a:extLst>
            <a:ext uri="{FF2B5EF4-FFF2-40B4-BE49-F238E27FC236}">
              <a16:creationId xmlns:a16="http://schemas.microsoft.com/office/drawing/2014/main" xmlns="" id="{4CCFDEA9-2984-4212-B215-C0629A05BA4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3" name="TextBox 1072">
          <a:extLst>
            <a:ext uri="{FF2B5EF4-FFF2-40B4-BE49-F238E27FC236}">
              <a16:creationId xmlns:a16="http://schemas.microsoft.com/office/drawing/2014/main" xmlns="" id="{6712994F-A0B7-4616-900B-835233D3AFE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4" name="TextBox 1073">
          <a:extLst>
            <a:ext uri="{FF2B5EF4-FFF2-40B4-BE49-F238E27FC236}">
              <a16:creationId xmlns:a16="http://schemas.microsoft.com/office/drawing/2014/main" xmlns="" id="{D924C608-83ED-484F-B6E8-329FF4850D3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5" name="TextBox 1074">
          <a:extLst>
            <a:ext uri="{FF2B5EF4-FFF2-40B4-BE49-F238E27FC236}">
              <a16:creationId xmlns:a16="http://schemas.microsoft.com/office/drawing/2014/main" xmlns="" id="{BCFA5EAA-26A6-45A2-BB7B-A6DA92DF5F2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6" name="TextBox 1075">
          <a:extLst>
            <a:ext uri="{FF2B5EF4-FFF2-40B4-BE49-F238E27FC236}">
              <a16:creationId xmlns:a16="http://schemas.microsoft.com/office/drawing/2014/main" xmlns="" id="{4871DA69-0B43-4E18-8812-92103568A5A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7" name="TextBox 1076">
          <a:extLst>
            <a:ext uri="{FF2B5EF4-FFF2-40B4-BE49-F238E27FC236}">
              <a16:creationId xmlns:a16="http://schemas.microsoft.com/office/drawing/2014/main" xmlns="" id="{680B28C8-5E78-4389-953B-3C727672F6E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8" name="TextBox 1077">
          <a:extLst>
            <a:ext uri="{FF2B5EF4-FFF2-40B4-BE49-F238E27FC236}">
              <a16:creationId xmlns:a16="http://schemas.microsoft.com/office/drawing/2014/main" xmlns="" id="{C87084C8-9396-498A-8CD6-F5FB769CEB9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79" name="TextBox 1078">
          <a:extLst>
            <a:ext uri="{FF2B5EF4-FFF2-40B4-BE49-F238E27FC236}">
              <a16:creationId xmlns:a16="http://schemas.microsoft.com/office/drawing/2014/main" xmlns="" id="{03EBA24B-6435-43D1-82C6-0A5CBBA0C02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0" name="TextBox 1079">
          <a:extLst>
            <a:ext uri="{FF2B5EF4-FFF2-40B4-BE49-F238E27FC236}">
              <a16:creationId xmlns:a16="http://schemas.microsoft.com/office/drawing/2014/main" xmlns="" id="{0D9CF262-3AFE-4338-9951-73B7695AC60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1" name="TextBox 1080">
          <a:extLst>
            <a:ext uri="{FF2B5EF4-FFF2-40B4-BE49-F238E27FC236}">
              <a16:creationId xmlns:a16="http://schemas.microsoft.com/office/drawing/2014/main" xmlns="" id="{A256DE43-7AF0-41F6-A6F3-E3467876A4C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2" name="TextBox 1081">
          <a:extLst>
            <a:ext uri="{FF2B5EF4-FFF2-40B4-BE49-F238E27FC236}">
              <a16:creationId xmlns:a16="http://schemas.microsoft.com/office/drawing/2014/main" xmlns="" id="{C8361607-8E61-4A93-8CE1-79BD29DA295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3" name="TextBox 1082">
          <a:extLst>
            <a:ext uri="{FF2B5EF4-FFF2-40B4-BE49-F238E27FC236}">
              <a16:creationId xmlns:a16="http://schemas.microsoft.com/office/drawing/2014/main" xmlns="" id="{7ECAD1A4-C18C-4F71-ACE9-FFC5AF968E5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4" name="TextBox 1083">
          <a:extLst>
            <a:ext uri="{FF2B5EF4-FFF2-40B4-BE49-F238E27FC236}">
              <a16:creationId xmlns:a16="http://schemas.microsoft.com/office/drawing/2014/main" xmlns="" id="{D948376D-1A08-465E-91D8-45DD3BB91D37}"/>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5" name="TextBox 1084">
          <a:extLst>
            <a:ext uri="{FF2B5EF4-FFF2-40B4-BE49-F238E27FC236}">
              <a16:creationId xmlns:a16="http://schemas.microsoft.com/office/drawing/2014/main" xmlns="" id="{170C622C-ED21-4C60-A563-7796CCEDBE2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6" name="TextBox 1085">
          <a:extLst>
            <a:ext uri="{FF2B5EF4-FFF2-40B4-BE49-F238E27FC236}">
              <a16:creationId xmlns:a16="http://schemas.microsoft.com/office/drawing/2014/main" xmlns="" id="{D15BF76B-9B4F-4A59-87C4-41D1BBC407B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7" name="TextBox 1086">
          <a:extLst>
            <a:ext uri="{FF2B5EF4-FFF2-40B4-BE49-F238E27FC236}">
              <a16:creationId xmlns:a16="http://schemas.microsoft.com/office/drawing/2014/main" xmlns="" id="{C8ED9A4B-2CF4-4B71-9A41-5D4039893F0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8" name="TextBox 1087">
          <a:extLst>
            <a:ext uri="{FF2B5EF4-FFF2-40B4-BE49-F238E27FC236}">
              <a16:creationId xmlns:a16="http://schemas.microsoft.com/office/drawing/2014/main" xmlns="" id="{5AE44DF4-34D8-49B7-AD5C-678256B3285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89" name="TextBox 1088">
          <a:extLst>
            <a:ext uri="{FF2B5EF4-FFF2-40B4-BE49-F238E27FC236}">
              <a16:creationId xmlns:a16="http://schemas.microsoft.com/office/drawing/2014/main" xmlns="" id="{041908EF-4E99-4D31-9331-54A22B62F27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0" name="TextBox 1089">
          <a:extLst>
            <a:ext uri="{FF2B5EF4-FFF2-40B4-BE49-F238E27FC236}">
              <a16:creationId xmlns:a16="http://schemas.microsoft.com/office/drawing/2014/main" xmlns="" id="{27FF56A2-B6E0-49C3-8BBE-6A5EF3FD7C2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1" name="TextBox 1090">
          <a:extLst>
            <a:ext uri="{FF2B5EF4-FFF2-40B4-BE49-F238E27FC236}">
              <a16:creationId xmlns:a16="http://schemas.microsoft.com/office/drawing/2014/main" xmlns="" id="{30F433B0-DC1F-4BDF-838A-0BCA4BD4F22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2" name="TextBox 1091">
          <a:extLst>
            <a:ext uri="{FF2B5EF4-FFF2-40B4-BE49-F238E27FC236}">
              <a16:creationId xmlns:a16="http://schemas.microsoft.com/office/drawing/2014/main" xmlns="" id="{29CA5EF2-89CC-4572-8B87-9A6DCFF4C0E5}"/>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3" name="TextBox 1092">
          <a:extLst>
            <a:ext uri="{FF2B5EF4-FFF2-40B4-BE49-F238E27FC236}">
              <a16:creationId xmlns:a16="http://schemas.microsoft.com/office/drawing/2014/main" xmlns="" id="{402F06C6-5984-4EEC-B2B9-CB9C0A0ECDF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4" name="TextBox 1093">
          <a:extLst>
            <a:ext uri="{FF2B5EF4-FFF2-40B4-BE49-F238E27FC236}">
              <a16:creationId xmlns:a16="http://schemas.microsoft.com/office/drawing/2014/main" xmlns="" id="{EE872D09-AE10-46BB-A33B-5717022F8C6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5" name="TextBox 1094">
          <a:extLst>
            <a:ext uri="{FF2B5EF4-FFF2-40B4-BE49-F238E27FC236}">
              <a16:creationId xmlns:a16="http://schemas.microsoft.com/office/drawing/2014/main" xmlns="" id="{F9F570F5-37AA-4F3D-936F-EBF115CE468F}"/>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6" name="TextBox 1095">
          <a:extLst>
            <a:ext uri="{FF2B5EF4-FFF2-40B4-BE49-F238E27FC236}">
              <a16:creationId xmlns:a16="http://schemas.microsoft.com/office/drawing/2014/main" xmlns="" id="{5BE4DCA9-6104-45FF-AD83-BA0E8E1BF89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7" name="TextBox 1096">
          <a:extLst>
            <a:ext uri="{FF2B5EF4-FFF2-40B4-BE49-F238E27FC236}">
              <a16:creationId xmlns:a16="http://schemas.microsoft.com/office/drawing/2014/main" xmlns="" id="{959B37DC-F850-4CFB-A71A-2F254D54E8D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8" name="TextBox 1097">
          <a:extLst>
            <a:ext uri="{FF2B5EF4-FFF2-40B4-BE49-F238E27FC236}">
              <a16:creationId xmlns:a16="http://schemas.microsoft.com/office/drawing/2014/main" xmlns="" id="{93DF26A3-1530-4F5C-9B49-2CD7BDB538E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099" name="TextBox 1098">
          <a:extLst>
            <a:ext uri="{FF2B5EF4-FFF2-40B4-BE49-F238E27FC236}">
              <a16:creationId xmlns:a16="http://schemas.microsoft.com/office/drawing/2014/main" xmlns="" id="{C22A5735-1853-4B08-8B9D-BD5990FD931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0" name="TextBox 1099">
          <a:extLst>
            <a:ext uri="{FF2B5EF4-FFF2-40B4-BE49-F238E27FC236}">
              <a16:creationId xmlns:a16="http://schemas.microsoft.com/office/drawing/2014/main" xmlns="" id="{00DF25B5-BB32-4515-8A72-0E94248A70F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1" name="TextBox 1100">
          <a:extLst>
            <a:ext uri="{FF2B5EF4-FFF2-40B4-BE49-F238E27FC236}">
              <a16:creationId xmlns:a16="http://schemas.microsoft.com/office/drawing/2014/main" xmlns="" id="{632ED758-8C0F-4200-8C49-8B5463942BF9}"/>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2" name="TextBox 1101">
          <a:extLst>
            <a:ext uri="{FF2B5EF4-FFF2-40B4-BE49-F238E27FC236}">
              <a16:creationId xmlns:a16="http://schemas.microsoft.com/office/drawing/2014/main" xmlns="" id="{41D63741-E76C-4CD7-9119-08A2C829327D}"/>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3" name="TextBox 1102">
          <a:extLst>
            <a:ext uri="{FF2B5EF4-FFF2-40B4-BE49-F238E27FC236}">
              <a16:creationId xmlns:a16="http://schemas.microsoft.com/office/drawing/2014/main" xmlns="" id="{E7DD83E2-D52A-435E-9E24-DE86CD8981A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4" name="TextBox 1103">
          <a:extLst>
            <a:ext uri="{FF2B5EF4-FFF2-40B4-BE49-F238E27FC236}">
              <a16:creationId xmlns:a16="http://schemas.microsoft.com/office/drawing/2014/main" xmlns="" id="{651EF6E5-D25A-4B26-955B-982F7800EA3E}"/>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5" name="TextBox 1104">
          <a:extLst>
            <a:ext uri="{FF2B5EF4-FFF2-40B4-BE49-F238E27FC236}">
              <a16:creationId xmlns:a16="http://schemas.microsoft.com/office/drawing/2014/main" xmlns="" id="{83561744-AD67-4A29-B6E8-F49F94A1181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6" name="TextBox 1105">
          <a:extLst>
            <a:ext uri="{FF2B5EF4-FFF2-40B4-BE49-F238E27FC236}">
              <a16:creationId xmlns:a16="http://schemas.microsoft.com/office/drawing/2014/main" xmlns="" id="{1BC29D37-B3F9-4EC4-B01D-074136ED4691}"/>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7" name="TextBox 1106">
          <a:extLst>
            <a:ext uri="{FF2B5EF4-FFF2-40B4-BE49-F238E27FC236}">
              <a16:creationId xmlns:a16="http://schemas.microsoft.com/office/drawing/2014/main" xmlns="" id="{8F8D15F5-1EB3-4905-BADC-2203DF60A24C}"/>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8" name="TextBox 1107">
          <a:extLst>
            <a:ext uri="{FF2B5EF4-FFF2-40B4-BE49-F238E27FC236}">
              <a16:creationId xmlns:a16="http://schemas.microsoft.com/office/drawing/2014/main" xmlns="" id="{D1383F62-996A-4E5C-9D63-139D36ED964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09" name="TextBox 1108">
          <a:extLst>
            <a:ext uri="{FF2B5EF4-FFF2-40B4-BE49-F238E27FC236}">
              <a16:creationId xmlns:a16="http://schemas.microsoft.com/office/drawing/2014/main" xmlns="" id="{F004E21C-D918-490B-967F-9D2A053C6E8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0" name="TextBox 1109">
          <a:extLst>
            <a:ext uri="{FF2B5EF4-FFF2-40B4-BE49-F238E27FC236}">
              <a16:creationId xmlns:a16="http://schemas.microsoft.com/office/drawing/2014/main" xmlns="" id="{5B45BEA9-F67B-4A69-9EBA-039EEF50893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1" name="TextBox 1110">
          <a:extLst>
            <a:ext uri="{FF2B5EF4-FFF2-40B4-BE49-F238E27FC236}">
              <a16:creationId xmlns:a16="http://schemas.microsoft.com/office/drawing/2014/main" xmlns="" id="{29AC79E6-8779-4452-B3DB-CD0D82B2C8BB}"/>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2" name="TextBox 1111">
          <a:extLst>
            <a:ext uri="{FF2B5EF4-FFF2-40B4-BE49-F238E27FC236}">
              <a16:creationId xmlns:a16="http://schemas.microsoft.com/office/drawing/2014/main" xmlns="" id="{8169413B-7F19-47B7-B888-C966E38161D6}"/>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3" name="TextBox 1112">
          <a:extLst>
            <a:ext uri="{FF2B5EF4-FFF2-40B4-BE49-F238E27FC236}">
              <a16:creationId xmlns:a16="http://schemas.microsoft.com/office/drawing/2014/main" xmlns="" id="{1637D056-2593-4392-93D3-5C7DC27316A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4" name="TextBox 1113">
          <a:extLst>
            <a:ext uri="{FF2B5EF4-FFF2-40B4-BE49-F238E27FC236}">
              <a16:creationId xmlns:a16="http://schemas.microsoft.com/office/drawing/2014/main" xmlns="" id="{C011E693-070A-4C1D-9688-449F430A5F7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5" name="TextBox 1114">
          <a:extLst>
            <a:ext uri="{FF2B5EF4-FFF2-40B4-BE49-F238E27FC236}">
              <a16:creationId xmlns:a16="http://schemas.microsoft.com/office/drawing/2014/main" xmlns="" id="{EFEDEFA1-D9A7-4B04-B195-43BFA7CC6893}"/>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6" name="TextBox 1115">
          <a:extLst>
            <a:ext uri="{FF2B5EF4-FFF2-40B4-BE49-F238E27FC236}">
              <a16:creationId xmlns:a16="http://schemas.microsoft.com/office/drawing/2014/main" xmlns="" id="{B7205BB4-F5ED-469F-966B-621AFD543A62}"/>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7" name="TextBox 1116">
          <a:extLst>
            <a:ext uri="{FF2B5EF4-FFF2-40B4-BE49-F238E27FC236}">
              <a16:creationId xmlns:a16="http://schemas.microsoft.com/office/drawing/2014/main" xmlns="" id="{C9B35517-F970-42E8-A041-7213A92CF06A}"/>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8" name="TextBox 1117">
          <a:extLst>
            <a:ext uri="{FF2B5EF4-FFF2-40B4-BE49-F238E27FC236}">
              <a16:creationId xmlns:a16="http://schemas.microsoft.com/office/drawing/2014/main" xmlns="" id="{D678F0DF-9B9E-4779-8D07-415490AE5A7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19" name="TextBox 1118">
          <a:extLst>
            <a:ext uri="{FF2B5EF4-FFF2-40B4-BE49-F238E27FC236}">
              <a16:creationId xmlns:a16="http://schemas.microsoft.com/office/drawing/2014/main" xmlns="" id="{EE547CAB-B61B-42AB-8FD0-8341BF789094}"/>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20" name="TextBox 1119">
          <a:extLst>
            <a:ext uri="{FF2B5EF4-FFF2-40B4-BE49-F238E27FC236}">
              <a16:creationId xmlns:a16="http://schemas.microsoft.com/office/drawing/2014/main" xmlns="" id="{83B710DD-28A3-4CCC-B0FF-E68A4B5E185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232</xdr:row>
      <xdr:rowOff>0</xdr:rowOff>
    </xdr:from>
    <xdr:ext cx="65" cy="172227"/>
    <xdr:sp macro="" textlink="">
      <xdr:nvSpPr>
        <xdr:cNvPr id="1121" name="TextBox 1120">
          <a:extLst>
            <a:ext uri="{FF2B5EF4-FFF2-40B4-BE49-F238E27FC236}">
              <a16:creationId xmlns:a16="http://schemas.microsoft.com/office/drawing/2014/main" xmlns="" id="{21C0C6E4-D9C3-42BD-BD78-929DFD6F3808}"/>
            </a:ext>
          </a:extLst>
        </xdr:cNvPr>
        <xdr:cNvSpPr txBox="1"/>
      </xdr:nvSpPr>
      <xdr:spPr>
        <a:xfrm>
          <a:off x="7584576" y="915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2" name="TextBox 1121">
          <a:extLst>
            <a:ext uri="{FF2B5EF4-FFF2-40B4-BE49-F238E27FC236}">
              <a16:creationId xmlns:a16="http://schemas.microsoft.com/office/drawing/2014/main" xmlns="" id="{3A850D1A-4CC3-4426-842D-25207F5A6C6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3" name="TextBox 1122">
          <a:extLst>
            <a:ext uri="{FF2B5EF4-FFF2-40B4-BE49-F238E27FC236}">
              <a16:creationId xmlns:a16="http://schemas.microsoft.com/office/drawing/2014/main" xmlns="" id="{7209287A-10E6-4A2E-8162-7A0BF797071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4" name="TextBox 1123">
          <a:extLst>
            <a:ext uri="{FF2B5EF4-FFF2-40B4-BE49-F238E27FC236}">
              <a16:creationId xmlns:a16="http://schemas.microsoft.com/office/drawing/2014/main" xmlns="" id="{2C02E52D-8F2C-4F8F-BB3F-E961A728634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5" name="TextBox 1124">
          <a:extLst>
            <a:ext uri="{FF2B5EF4-FFF2-40B4-BE49-F238E27FC236}">
              <a16:creationId xmlns:a16="http://schemas.microsoft.com/office/drawing/2014/main" xmlns="" id="{F4B3D7B6-3366-4127-85B1-46436CA3B51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6" name="TextBox 1125">
          <a:extLst>
            <a:ext uri="{FF2B5EF4-FFF2-40B4-BE49-F238E27FC236}">
              <a16:creationId xmlns:a16="http://schemas.microsoft.com/office/drawing/2014/main" xmlns="" id="{00540ADC-8EF1-49BC-A3C4-C667D86F088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7" name="TextBox 1126">
          <a:extLst>
            <a:ext uri="{FF2B5EF4-FFF2-40B4-BE49-F238E27FC236}">
              <a16:creationId xmlns:a16="http://schemas.microsoft.com/office/drawing/2014/main" xmlns="" id="{7650FB80-BD02-4448-BDEA-1967967C4EC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8" name="TextBox 1127">
          <a:extLst>
            <a:ext uri="{FF2B5EF4-FFF2-40B4-BE49-F238E27FC236}">
              <a16:creationId xmlns:a16="http://schemas.microsoft.com/office/drawing/2014/main" xmlns="" id="{04CEE3DF-75A1-47B4-AD6E-E09A6B05F0E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29" name="TextBox 1128">
          <a:extLst>
            <a:ext uri="{FF2B5EF4-FFF2-40B4-BE49-F238E27FC236}">
              <a16:creationId xmlns:a16="http://schemas.microsoft.com/office/drawing/2014/main" xmlns="" id="{01D3F3EA-6F8D-45EC-BC75-6A0011D3581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0" name="TextBox 1129">
          <a:extLst>
            <a:ext uri="{FF2B5EF4-FFF2-40B4-BE49-F238E27FC236}">
              <a16:creationId xmlns:a16="http://schemas.microsoft.com/office/drawing/2014/main" xmlns="" id="{8CA9FDA3-376C-4501-86F8-8A7687DC4F7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1" name="TextBox 1130">
          <a:extLst>
            <a:ext uri="{FF2B5EF4-FFF2-40B4-BE49-F238E27FC236}">
              <a16:creationId xmlns:a16="http://schemas.microsoft.com/office/drawing/2014/main" xmlns="" id="{231F4D4B-DB1E-4623-9D94-EDE65A52AD8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2" name="TextBox 1131">
          <a:extLst>
            <a:ext uri="{FF2B5EF4-FFF2-40B4-BE49-F238E27FC236}">
              <a16:creationId xmlns:a16="http://schemas.microsoft.com/office/drawing/2014/main" xmlns="" id="{113CFC42-2D68-4675-B85F-4F4BF81B92D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3" name="TextBox 1132">
          <a:extLst>
            <a:ext uri="{FF2B5EF4-FFF2-40B4-BE49-F238E27FC236}">
              <a16:creationId xmlns:a16="http://schemas.microsoft.com/office/drawing/2014/main" xmlns="" id="{0D702969-9124-48C0-ACA9-71E4741D2F3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4" name="TextBox 1133">
          <a:extLst>
            <a:ext uri="{FF2B5EF4-FFF2-40B4-BE49-F238E27FC236}">
              <a16:creationId xmlns:a16="http://schemas.microsoft.com/office/drawing/2014/main" xmlns="" id="{E5012C46-5A7E-41E6-844E-2F5388F6668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5" name="TextBox 1134">
          <a:extLst>
            <a:ext uri="{FF2B5EF4-FFF2-40B4-BE49-F238E27FC236}">
              <a16:creationId xmlns:a16="http://schemas.microsoft.com/office/drawing/2014/main" xmlns="" id="{A012DB5A-19B1-48E5-A2BE-53E9BA96AF6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6" name="TextBox 1135">
          <a:extLst>
            <a:ext uri="{FF2B5EF4-FFF2-40B4-BE49-F238E27FC236}">
              <a16:creationId xmlns:a16="http://schemas.microsoft.com/office/drawing/2014/main" xmlns="" id="{C955E079-C5BF-4B63-A667-B1CC1D503F7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7" name="TextBox 1136">
          <a:extLst>
            <a:ext uri="{FF2B5EF4-FFF2-40B4-BE49-F238E27FC236}">
              <a16:creationId xmlns:a16="http://schemas.microsoft.com/office/drawing/2014/main" xmlns="" id="{FD1572FF-7884-4AD8-9B8F-80D95A8C6EB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8" name="TextBox 1137">
          <a:extLst>
            <a:ext uri="{FF2B5EF4-FFF2-40B4-BE49-F238E27FC236}">
              <a16:creationId xmlns:a16="http://schemas.microsoft.com/office/drawing/2014/main" xmlns="" id="{2572FFB6-3348-4DF5-B809-88A50BF048E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39" name="TextBox 1138">
          <a:extLst>
            <a:ext uri="{FF2B5EF4-FFF2-40B4-BE49-F238E27FC236}">
              <a16:creationId xmlns:a16="http://schemas.microsoft.com/office/drawing/2014/main" xmlns="" id="{BC468973-7647-49D9-82DC-3E3781E7968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0" name="TextBox 1139">
          <a:extLst>
            <a:ext uri="{FF2B5EF4-FFF2-40B4-BE49-F238E27FC236}">
              <a16:creationId xmlns:a16="http://schemas.microsoft.com/office/drawing/2014/main" xmlns="" id="{5CFC1376-021B-4E78-8DC4-6C930E86FCC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1" name="TextBox 1140">
          <a:extLst>
            <a:ext uri="{FF2B5EF4-FFF2-40B4-BE49-F238E27FC236}">
              <a16:creationId xmlns:a16="http://schemas.microsoft.com/office/drawing/2014/main" xmlns="" id="{26375E2F-CFC7-4633-A17D-F6E7BCCA0CF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2" name="TextBox 1141">
          <a:extLst>
            <a:ext uri="{FF2B5EF4-FFF2-40B4-BE49-F238E27FC236}">
              <a16:creationId xmlns:a16="http://schemas.microsoft.com/office/drawing/2014/main" xmlns="" id="{183C307D-5346-4BA9-851B-14F1EBBCCC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3" name="TextBox 1142">
          <a:extLst>
            <a:ext uri="{FF2B5EF4-FFF2-40B4-BE49-F238E27FC236}">
              <a16:creationId xmlns:a16="http://schemas.microsoft.com/office/drawing/2014/main" xmlns="" id="{4876B5D4-2E8F-4377-862B-398553E4186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4" name="TextBox 1143">
          <a:extLst>
            <a:ext uri="{FF2B5EF4-FFF2-40B4-BE49-F238E27FC236}">
              <a16:creationId xmlns:a16="http://schemas.microsoft.com/office/drawing/2014/main" xmlns="" id="{1C8EC291-A1BE-464E-BA49-FDE70B0D4F4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5" name="TextBox 1144">
          <a:extLst>
            <a:ext uri="{FF2B5EF4-FFF2-40B4-BE49-F238E27FC236}">
              <a16:creationId xmlns:a16="http://schemas.microsoft.com/office/drawing/2014/main" xmlns="" id="{7E297E28-57BE-409F-BD08-3BFE2FBC630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6" name="TextBox 1145">
          <a:extLst>
            <a:ext uri="{FF2B5EF4-FFF2-40B4-BE49-F238E27FC236}">
              <a16:creationId xmlns:a16="http://schemas.microsoft.com/office/drawing/2014/main" xmlns="" id="{E75179B5-ADEC-4324-97D5-902C45C3A74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7" name="TextBox 1146">
          <a:extLst>
            <a:ext uri="{FF2B5EF4-FFF2-40B4-BE49-F238E27FC236}">
              <a16:creationId xmlns:a16="http://schemas.microsoft.com/office/drawing/2014/main" xmlns="" id="{65A748CF-46F4-44D9-BCF7-D4F80F51625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8" name="TextBox 1147">
          <a:extLst>
            <a:ext uri="{FF2B5EF4-FFF2-40B4-BE49-F238E27FC236}">
              <a16:creationId xmlns:a16="http://schemas.microsoft.com/office/drawing/2014/main" xmlns="" id="{2AA05899-2090-4D27-BFF4-E798C380AB0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49" name="TextBox 1148">
          <a:extLst>
            <a:ext uri="{FF2B5EF4-FFF2-40B4-BE49-F238E27FC236}">
              <a16:creationId xmlns:a16="http://schemas.microsoft.com/office/drawing/2014/main" xmlns="" id="{53C3618B-906D-4055-9D0A-BC659FC9CF5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0" name="TextBox 1149">
          <a:extLst>
            <a:ext uri="{FF2B5EF4-FFF2-40B4-BE49-F238E27FC236}">
              <a16:creationId xmlns:a16="http://schemas.microsoft.com/office/drawing/2014/main" xmlns="" id="{0968AB26-CECF-46EC-9D0C-CF1C718A326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1" name="TextBox 1150">
          <a:extLst>
            <a:ext uri="{FF2B5EF4-FFF2-40B4-BE49-F238E27FC236}">
              <a16:creationId xmlns:a16="http://schemas.microsoft.com/office/drawing/2014/main" xmlns="" id="{913046A3-10DB-4E5C-BD73-550DFA1B6AE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2" name="TextBox 1151">
          <a:extLst>
            <a:ext uri="{FF2B5EF4-FFF2-40B4-BE49-F238E27FC236}">
              <a16:creationId xmlns:a16="http://schemas.microsoft.com/office/drawing/2014/main" xmlns="" id="{49F058CE-1361-42B8-A7B3-C5C2B866E33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3" name="TextBox 1152">
          <a:extLst>
            <a:ext uri="{FF2B5EF4-FFF2-40B4-BE49-F238E27FC236}">
              <a16:creationId xmlns:a16="http://schemas.microsoft.com/office/drawing/2014/main" xmlns="" id="{1E6F3267-3855-4C51-AE4C-C67B5151B45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4" name="TextBox 1153">
          <a:extLst>
            <a:ext uri="{FF2B5EF4-FFF2-40B4-BE49-F238E27FC236}">
              <a16:creationId xmlns:a16="http://schemas.microsoft.com/office/drawing/2014/main" xmlns="" id="{BFDF2A6C-F7A5-4DE5-8C03-E4C9F18E1E2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5" name="TextBox 1154">
          <a:extLst>
            <a:ext uri="{FF2B5EF4-FFF2-40B4-BE49-F238E27FC236}">
              <a16:creationId xmlns:a16="http://schemas.microsoft.com/office/drawing/2014/main" xmlns="" id="{4F24A477-1D3B-4B62-BCDE-9409FF326CE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6" name="TextBox 1155">
          <a:extLst>
            <a:ext uri="{FF2B5EF4-FFF2-40B4-BE49-F238E27FC236}">
              <a16:creationId xmlns:a16="http://schemas.microsoft.com/office/drawing/2014/main" xmlns="" id="{13A4D7A7-192E-43A3-99BC-8E3097D285D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7" name="TextBox 1156">
          <a:extLst>
            <a:ext uri="{FF2B5EF4-FFF2-40B4-BE49-F238E27FC236}">
              <a16:creationId xmlns:a16="http://schemas.microsoft.com/office/drawing/2014/main" xmlns="" id="{34092785-1FAD-4752-B7BF-D7B7F2E53FF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8" name="TextBox 1157">
          <a:extLst>
            <a:ext uri="{FF2B5EF4-FFF2-40B4-BE49-F238E27FC236}">
              <a16:creationId xmlns:a16="http://schemas.microsoft.com/office/drawing/2014/main" xmlns="" id="{89CEC901-12C0-4BFE-B6AF-6C1ADCCC963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59" name="TextBox 1158">
          <a:extLst>
            <a:ext uri="{FF2B5EF4-FFF2-40B4-BE49-F238E27FC236}">
              <a16:creationId xmlns:a16="http://schemas.microsoft.com/office/drawing/2014/main" xmlns="" id="{FA9CE17C-25AD-47C7-8DF4-A718402464A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0" name="TextBox 1159">
          <a:extLst>
            <a:ext uri="{FF2B5EF4-FFF2-40B4-BE49-F238E27FC236}">
              <a16:creationId xmlns:a16="http://schemas.microsoft.com/office/drawing/2014/main" xmlns="" id="{18DC9692-F65E-4F90-882E-1435294702B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1" name="TextBox 1160">
          <a:extLst>
            <a:ext uri="{FF2B5EF4-FFF2-40B4-BE49-F238E27FC236}">
              <a16:creationId xmlns:a16="http://schemas.microsoft.com/office/drawing/2014/main" xmlns="" id="{CD6F822D-B0DF-4CD1-BBD1-2A5A533FE57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2" name="TextBox 1161">
          <a:extLst>
            <a:ext uri="{FF2B5EF4-FFF2-40B4-BE49-F238E27FC236}">
              <a16:creationId xmlns:a16="http://schemas.microsoft.com/office/drawing/2014/main" xmlns="" id="{68E2E9FB-59E6-44EF-97B6-38BFA485026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3" name="TextBox 1162">
          <a:extLst>
            <a:ext uri="{FF2B5EF4-FFF2-40B4-BE49-F238E27FC236}">
              <a16:creationId xmlns:a16="http://schemas.microsoft.com/office/drawing/2014/main" xmlns="" id="{83E00083-1006-44B5-87FB-226B68169D2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4" name="TextBox 1163">
          <a:extLst>
            <a:ext uri="{FF2B5EF4-FFF2-40B4-BE49-F238E27FC236}">
              <a16:creationId xmlns:a16="http://schemas.microsoft.com/office/drawing/2014/main" xmlns="" id="{9CE3701D-AF38-4679-98D5-90F5FA3CB3A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5" name="TextBox 1164">
          <a:extLst>
            <a:ext uri="{FF2B5EF4-FFF2-40B4-BE49-F238E27FC236}">
              <a16:creationId xmlns:a16="http://schemas.microsoft.com/office/drawing/2014/main" xmlns="" id="{85FF53EA-F124-4627-80CB-65432619706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6" name="TextBox 1165">
          <a:extLst>
            <a:ext uri="{FF2B5EF4-FFF2-40B4-BE49-F238E27FC236}">
              <a16:creationId xmlns:a16="http://schemas.microsoft.com/office/drawing/2014/main" xmlns="" id="{BC107547-09A1-48E0-9BE2-1BF2AF44C88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7" name="TextBox 1166">
          <a:extLst>
            <a:ext uri="{FF2B5EF4-FFF2-40B4-BE49-F238E27FC236}">
              <a16:creationId xmlns:a16="http://schemas.microsoft.com/office/drawing/2014/main" xmlns="" id="{6ABB08A2-24D9-4378-B3AA-74D1DB4BB09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8" name="TextBox 1167">
          <a:extLst>
            <a:ext uri="{FF2B5EF4-FFF2-40B4-BE49-F238E27FC236}">
              <a16:creationId xmlns:a16="http://schemas.microsoft.com/office/drawing/2014/main" xmlns="" id="{7D95339F-3A6C-45C0-A972-7FC3FE0AF9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69" name="TextBox 1168">
          <a:extLst>
            <a:ext uri="{FF2B5EF4-FFF2-40B4-BE49-F238E27FC236}">
              <a16:creationId xmlns:a16="http://schemas.microsoft.com/office/drawing/2014/main" xmlns="" id="{D7BD1919-9C26-4B41-BF1A-7EBD6CB4A4A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0" name="TextBox 1169">
          <a:extLst>
            <a:ext uri="{FF2B5EF4-FFF2-40B4-BE49-F238E27FC236}">
              <a16:creationId xmlns:a16="http://schemas.microsoft.com/office/drawing/2014/main" xmlns="" id="{98A4790A-BB40-419C-867E-E72F5C6FCF0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1" name="TextBox 1170">
          <a:extLst>
            <a:ext uri="{FF2B5EF4-FFF2-40B4-BE49-F238E27FC236}">
              <a16:creationId xmlns:a16="http://schemas.microsoft.com/office/drawing/2014/main" xmlns="" id="{88D21B60-F9C3-47F4-A04E-0937C752804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2" name="TextBox 1171">
          <a:extLst>
            <a:ext uri="{FF2B5EF4-FFF2-40B4-BE49-F238E27FC236}">
              <a16:creationId xmlns:a16="http://schemas.microsoft.com/office/drawing/2014/main" xmlns="" id="{21D6DB0F-7E3F-4C75-8C52-B099BD4D74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3" name="TextBox 1172">
          <a:extLst>
            <a:ext uri="{FF2B5EF4-FFF2-40B4-BE49-F238E27FC236}">
              <a16:creationId xmlns:a16="http://schemas.microsoft.com/office/drawing/2014/main" xmlns="" id="{429A16FF-0862-4D21-82CA-EAFF69D8CA4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4" name="TextBox 1173">
          <a:extLst>
            <a:ext uri="{FF2B5EF4-FFF2-40B4-BE49-F238E27FC236}">
              <a16:creationId xmlns:a16="http://schemas.microsoft.com/office/drawing/2014/main" xmlns="" id="{FEF9579C-FD2C-4575-8556-AEB21B5B455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5" name="TextBox 1174">
          <a:extLst>
            <a:ext uri="{FF2B5EF4-FFF2-40B4-BE49-F238E27FC236}">
              <a16:creationId xmlns:a16="http://schemas.microsoft.com/office/drawing/2014/main" xmlns="" id="{335BCDBC-0995-46FC-9D46-3CD3F8AE810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6" name="TextBox 1175">
          <a:extLst>
            <a:ext uri="{FF2B5EF4-FFF2-40B4-BE49-F238E27FC236}">
              <a16:creationId xmlns:a16="http://schemas.microsoft.com/office/drawing/2014/main" xmlns="" id="{66AAEC7D-06A3-4B20-9D6F-4EE7B2913A5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7" name="TextBox 1176">
          <a:extLst>
            <a:ext uri="{FF2B5EF4-FFF2-40B4-BE49-F238E27FC236}">
              <a16:creationId xmlns:a16="http://schemas.microsoft.com/office/drawing/2014/main" xmlns="" id="{A8EFCF9A-1419-4CBC-8938-5A601F25ED7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8" name="TextBox 1177">
          <a:extLst>
            <a:ext uri="{FF2B5EF4-FFF2-40B4-BE49-F238E27FC236}">
              <a16:creationId xmlns:a16="http://schemas.microsoft.com/office/drawing/2014/main" xmlns="" id="{917D8289-17CD-4764-BBAC-5BF55E8F234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79" name="TextBox 1178">
          <a:extLst>
            <a:ext uri="{FF2B5EF4-FFF2-40B4-BE49-F238E27FC236}">
              <a16:creationId xmlns:a16="http://schemas.microsoft.com/office/drawing/2014/main" xmlns="" id="{681E56AF-B512-4B63-B816-FB41BA17C69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0" name="TextBox 1179">
          <a:extLst>
            <a:ext uri="{FF2B5EF4-FFF2-40B4-BE49-F238E27FC236}">
              <a16:creationId xmlns:a16="http://schemas.microsoft.com/office/drawing/2014/main" xmlns="" id="{6869AA3A-F319-4DBC-8B03-8F818768A0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1" name="TextBox 1180">
          <a:extLst>
            <a:ext uri="{FF2B5EF4-FFF2-40B4-BE49-F238E27FC236}">
              <a16:creationId xmlns:a16="http://schemas.microsoft.com/office/drawing/2014/main" xmlns="" id="{2C61EDC7-E765-47F6-A3FD-300A5CF4CF7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2" name="TextBox 1181">
          <a:extLst>
            <a:ext uri="{FF2B5EF4-FFF2-40B4-BE49-F238E27FC236}">
              <a16:creationId xmlns:a16="http://schemas.microsoft.com/office/drawing/2014/main" xmlns="" id="{D4EEB535-1C53-4A5B-8585-7281514F16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3" name="TextBox 1182">
          <a:extLst>
            <a:ext uri="{FF2B5EF4-FFF2-40B4-BE49-F238E27FC236}">
              <a16:creationId xmlns:a16="http://schemas.microsoft.com/office/drawing/2014/main" xmlns="" id="{E57D6E1D-183F-4B1E-A3A5-D1E7FB36FCE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4" name="TextBox 1183">
          <a:extLst>
            <a:ext uri="{FF2B5EF4-FFF2-40B4-BE49-F238E27FC236}">
              <a16:creationId xmlns:a16="http://schemas.microsoft.com/office/drawing/2014/main" xmlns="" id="{8AFD908E-EB4A-4A29-A53F-DDAA7E544E4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5" name="TextBox 1184">
          <a:extLst>
            <a:ext uri="{FF2B5EF4-FFF2-40B4-BE49-F238E27FC236}">
              <a16:creationId xmlns:a16="http://schemas.microsoft.com/office/drawing/2014/main" xmlns="" id="{A9971621-E9B7-412D-8A61-071443D5A11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6" name="TextBox 1185">
          <a:extLst>
            <a:ext uri="{FF2B5EF4-FFF2-40B4-BE49-F238E27FC236}">
              <a16:creationId xmlns:a16="http://schemas.microsoft.com/office/drawing/2014/main" xmlns="" id="{7E36A692-3D39-445A-80E1-D2CFD52D161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7" name="TextBox 1186">
          <a:extLst>
            <a:ext uri="{FF2B5EF4-FFF2-40B4-BE49-F238E27FC236}">
              <a16:creationId xmlns:a16="http://schemas.microsoft.com/office/drawing/2014/main" xmlns="" id="{6DD4113B-2FFE-4A79-81DE-F02C47209C7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8" name="TextBox 1187">
          <a:extLst>
            <a:ext uri="{FF2B5EF4-FFF2-40B4-BE49-F238E27FC236}">
              <a16:creationId xmlns:a16="http://schemas.microsoft.com/office/drawing/2014/main" xmlns="" id="{AE7F13F8-386A-4DD2-BA28-561365AAF95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89" name="TextBox 1188">
          <a:extLst>
            <a:ext uri="{FF2B5EF4-FFF2-40B4-BE49-F238E27FC236}">
              <a16:creationId xmlns:a16="http://schemas.microsoft.com/office/drawing/2014/main" xmlns="" id="{3892C5DB-C8B8-4812-8D89-6349CF647D9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0" name="TextBox 1189">
          <a:extLst>
            <a:ext uri="{FF2B5EF4-FFF2-40B4-BE49-F238E27FC236}">
              <a16:creationId xmlns:a16="http://schemas.microsoft.com/office/drawing/2014/main" xmlns="" id="{3E7A9C7B-DEE1-4C13-BA00-ECF7081B536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1" name="TextBox 1190">
          <a:extLst>
            <a:ext uri="{FF2B5EF4-FFF2-40B4-BE49-F238E27FC236}">
              <a16:creationId xmlns:a16="http://schemas.microsoft.com/office/drawing/2014/main" xmlns="" id="{3BF32C53-5A84-4C28-8A56-B1268C766A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2" name="TextBox 1191">
          <a:extLst>
            <a:ext uri="{FF2B5EF4-FFF2-40B4-BE49-F238E27FC236}">
              <a16:creationId xmlns:a16="http://schemas.microsoft.com/office/drawing/2014/main" xmlns="" id="{B76EFF08-50B4-44E2-A58A-FB770A3E95D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3" name="TextBox 1192">
          <a:extLst>
            <a:ext uri="{FF2B5EF4-FFF2-40B4-BE49-F238E27FC236}">
              <a16:creationId xmlns:a16="http://schemas.microsoft.com/office/drawing/2014/main" xmlns="" id="{FB2F90BC-2A2F-4B1B-945E-586F17A1B0D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4" name="TextBox 1193">
          <a:extLst>
            <a:ext uri="{FF2B5EF4-FFF2-40B4-BE49-F238E27FC236}">
              <a16:creationId xmlns:a16="http://schemas.microsoft.com/office/drawing/2014/main" xmlns="" id="{8019899F-A5AB-4C51-ACBB-329C03F0DA6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5" name="TextBox 1194">
          <a:extLst>
            <a:ext uri="{FF2B5EF4-FFF2-40B4-BE49-F238E27FC236}">
              <a16:creationId xmlns:a16="http://schemas.microsoft.com/office/drawing/2014/main" xmlns="" id="{51606BD8-ADA4-4DBB-B362-CB835C4367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6" name="TextBox 1195">
          <a:extLst>
            <a:ext uri="{FF2B5EF4-FFF2-40B4-BE49-F238E27FC236}">
              <a16:creationId xmlns:a16="http://schemas.microsoft.com/office/drawing/2014/main" xmlns="" id="{DF61F0C3-1794-41F9-AF81-A5A93A5B2DF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7" name="TextBox 1196">
          <a:extLst>
            <a:ext uri="{FF2B5EF4-FFF2-40B4-BE49-F238E27FC236}">
              <a16:creationId xmlns:a16="http://schemas.microsoft.com/office/drawing/2014/main" xmlns="" id="{D593D1CA-A0A7-4DC3-BA0C-F972C8C55CC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8" name="TextBox 1197">
          <a:extLst>
            <a:ext uri="{FF2B5EF4-FFF2-40B4-BE49-F238E27FC236}">
              <a16:creationId xmlns:a16="http://schemas.microsoft.com/office/drawing/2014/main" xmlns="" id="{5C486C1A-4038-4C90-9B76-67F59CF422C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199" name="TextBox 1198">
          <a:extLst>
            <a:ext uri="{FF2B5EF4-FFF2-40B4-BE49-F238E27FC236}">
              <a16:creationId xmlns:a16="http://schemas.microsoft.com/office/drawing/2014/main" xmlns="" id="{30998ECB-FFDF-4AF3-9567-CBE71B3F004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0" name="TextBox 1199">
          <a:extLst>
            <a:ext uri="{FF2B5EF4-FFF2-40B4-BE49-F238E27FC236}">
              <a16:creationId xmlns:a16="http://schemas.microsoft.com/office/drawing/2014/main" xmlns="" id="{A35953CC-5538-43AE-A5A5-26261FD5FF4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1" name="TextBox 1200">
          <a:extLst>
            <a:ext uri="{FF2B5EF4-FFF2-40B4-BE49-F238E27FC236}">
              <a16:creationId xmlns:a16="http://schemas.microsoft.com/office/drawing/2014/main" xmlns="" id="{FF7425E1-16BA-4C89-8983-329F911CD3E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2" name="TextBox 1201">
          <a:extLst>
            <a:ext uri="{FF2B5EF4-FFF2-40B4-BE49-F238E27FC236}">
              <a16:creationId xmlns:a16="http://schemas.microsoft.com/office/drawing/2014/main" xmlns="" id="{249BA3D9-F22B-4912-94C2-29BC9A36678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3" name="TextBox 1202">
          <a:extLst>
            <a:ext uri="{FF2B5EF4-FFF2-40B4-BE49-F238E27FC236}">
              <a16:creationId xmlns:a16="http://schemas.microsoft.com/office/drawing/2014/main" xmlns="" id="{B2C291F1-3BE7-4C56-8903-9880BC07C2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4" name="TextBox 1203">
          <a:extLst>
            <a:ext uri="{FF2B5EF4-FFF2-40B4-BE49-F238E27FC236}">
              <a16:creationId xmlns:a16="http://schemas.microsoft.com/office/drawing/2014/main" xmlns="" id="{BC492083-85FC-4AD8-BA06-DEC2A79B007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5" name="TextBox 1204">
          <a:extLst>
            <a:ext uri="{FF2B5EF4-FFF2-40B4-BE49-F238E27FC236}">
              <a16:creationId xmlns:a16="http://schemas.microsoft.com/office/drawing/2014/main" xmlns="" id="{5829D43B-6BD6-40C9-8424-7D63C6303F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6" name="TextBox 1205">
          <a:extLst>
            <a:ext uri="{FF2B5EF4-FFF2-40B4-BE49-F238E27FC236}">
              <a16:creationId xmlns:a16="http://schemas.microsoft.com/office/drawing/2014/main" xmlns="" id="{34F9A6C7-4711-432A-984C-D99EACF0579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7" name="TextBox 1206">
          <a:extLst>
            <a:ext uri="{FF2B5EF4-FFF2-40B4-BE49-F238E27FC236}">
              <a16:creationId xmlns:a16="http://schemas.microsoft.com/office/drawing/2014/main" xmlns="" id="{9F632CD7-F7E7-4154-965D-DC5F362DB99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8" name="TextBox 1207">
          <a:extLst>
            <a:ext uri="{FF2B5EF4-FFF2-40B4-BE49-F238E27FC236}">
              <a16:creationId xmlns:a16="http://schemas.microsoft.com/office/drawing/2014/main" xmlns="" id="{EAC179BD-5BE7-4082-8B2F-0D8F49494D3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09" name="TextBox 1208">
          <a:extLst>
            <a:ext uri="{FF2B5EF4-FFF2-40B4-BE49-F238E27FC236}">
              <a16:creationId xmlns:a16="http://schemas.microsoft.com/office/drawing/2014/main" xmlns="" id="{49983059-5030-456D-9B96-6200EF430B4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0" name="TextBox 1209">
          <a:extLst>
            <a:ext uri="{FF2B5EF4-FFF2-40B4-BE49-F238E27FC236}">
              <a16:creationId xmlns:a16="http://schemas.microsoft.com/office/drawing/2014/main" xmlns="" id="{370BC23C-A82F-4671-AA58-A77FB8ADA9E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1" name="TextBox 1210">
          <a:extLst>
            <a:ext uri="{FF2B5EF4-FFF2-40B4-BE49-F238E27FC236}">
              <a16:creationId xmlns:a16="http://schemas.microsoft.com/office/drawing/2014/main" xmlns="" id="{DB91B1AF-ACE6-4493-A9B0-4827E05DFFA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2" name="TextBox 1211">
          <a:extLst>
            <a:ext uri="{FF2B5EF4-FFF2-40B4-BE49-F238E27FC236}">
              <a16:creationId xmlns:a16="http://schemas.microsoft.com/office/drawing/2014/main" xmlns="" id="{8EAD0F62-77DF-463E-BE0C-7EC789F1C12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3" name="TextBox 1212">
          <a:extLst>
            <a:ext uri="{FF2B5EF4-FFF2-40B4-BE49-F238E27FC236}">
              <a16:creationId xmlns:a16="http://schemas.microsoft.com/office/drawing/2014/main" xmlns="" id="{9FD66340-286A-4D31-A2A9-F5A1F02997E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4" name="TextBox 1213">
          <a:extLst>
            <a:ext uri="{FF2B5EF4-FFF2-40B4-BE49-F238E27FC236}">
              <a16:creationId xmlns:a16="http://schemas.microsoft.com/office/drawing/2014/main" xmlns="" id="{B4DAE0A9-5E88-4F2D-8992-D6494F11D9B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5" name="TextBox 1214">
          <a:extLst>
            <a:ext uri="{FF2B5EF4-FFF2-40B4-BE49-F238E27FC236}">
              <a16:creationId xmlns:a16="http://schemas.microsoft.com/office/drawing/2014/main" xmlns="" id="{DB2EF629-0030-4CF9-A086-968AF306CF8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6" name="TextBox 1215">
          <a:extLst>
            <a:ext uri="{FF2B5EF4-FFF2-40B4-BE49-F238E27FC236}">
              <a16:creationId xmlns:a16="http://schemas.microsoft.com/office/drawing/2014/main" xmlns="" id="{B8A0CE55-F715-4DF7-83B1-00B90154515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7" name="TextBox 1216">
          <a:extLst>
            <a:ext uri="{FF2B5EF4-FFF2-40B4-BE49-F238E27FC236}">
              <a16:creationId xmlns:a16="http://schemas.microsoft.com/office/drawing/2014/main" xmlns="" id="{21AD7C43-A4EE-4B9B-AE9F-73F686736D8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8" name="TextBox 1217">
          <a:extLst>
            <a:ext uri="{FF2B5EF4-FFF2-40B4-BE49-F238E27FC236}">
              <a16:creationId xmlns:a16="http://schemas.microsoft.com/office/drawing/2014/main" xmlns="" id="{5FDB3B21-0FDD-460D-AAF4-47948FE5AF6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19" name="TextBox 1218">
          <a:extLst>
            <a:ext uri="{FF2B5EF4-FFF2-40B4-BE49-F238E27FC236}">
              <a16:creationId xmlns:a16="http://schemas.microsoft.com/office/drawing/2014/main" xmlns="" id="{3A2F6B36-9233-4911-B082-D26CBF54DA2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0" name="TextBox 1219">
          <a:extLst>
            <a:ext uri="{FF2B5EF4-FFF2-40B4-BE49-F238E27FC236}">
              <a16:creationId xmlns:a16="http://schemas.microsoft.com/office/drawing/2014/main" xmlns="" id="{419A6578-8124-4E62-AB9C-A431EA24963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1" name="TextBox 1220">
          <a:extLst>
            <a:ext uri="{FF2B5EF4-FFF2-40B4-BE49-F238E27FC236}">
              <a16:creationId xmlns:a16="http://schemas.microsoft.com/office/drawing/2014/main" xmlns="" id="{13C31B52-9E84-4814-8D48-829958FB788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2" name="TextBox 1221">
          <a:extLst>
            <a:ext uri="{FF2B5EF4-FFF2-40B4-BE49-F238E27FC236}">
              <a16:creationId xmlns:a16="http://schemas.microsoft.com/office/drawing/2014/main" xmlns="" id="{684ABFA6-054F-4A85-B5E6-8208D16E8C1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3" name="TextBox 1222">
          <a:extLst>
            <a:ext uri="{FF2B5EF4-FFF2-40B4-BE49-F238E27FC236}">
              <a16:creationId xmlns:a16="http://schemas.microsoft.com/office/drawing/2014/main" xmlns="" id="{39E696F0-B64C-4D0B-AD56-32B130D3A4C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4" name="TextBox 1223">
          <a:extLst>
            <a:ext uri="{FF2B5EF4-FFF2-40B4-BE49-F238E27FC236}">
              <a16:creationId xmlns:a16="http://schemas.microsoft.com/office/drawing/2014/main" xmlns="" id="{68F270C6-DF98-419D-9068-42FBBA96F41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5" name="TextBox 1224">
          <a:extLst>
            <a:ext uri="{FF2B5EF4-FFF2-40B4-BE49-F238E27FC236}">
              <a16:creationId xmlns:a16="http://schemas.microsoft.com/office/drawing/2014/main" xmlns="" id="{9EFBCFA3-79F7-43D1-AFD6-9F2C163DC58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6" name="TextBox 1225">
          <a:extLst>
            <a:ext uri="{FF2B5EF4-FFF2-40B4-BE49-F238E27FC236}">
              <a16:creationId xmlns:a16="http://schemas.microsoft.com/office/drawing/2014/main" xmlns="" id="{970FC6DD-5E6C-44F0-A018-6B5A6A05207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7" name="TextBox 1226">
          <a:extLst>
            <a:ext uri="{FF2B5EF4-FFF2-40B4-BE49-F238E27FC236}">
              <a16:creationId xmlns:a16="http://schemas.microsoft.com/office/drawing/2014/main" xmlns="" id="{BCAF184E-7242-4F28-8250-0548C348FD8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8" name="TextBox 1227">
          <a:extLst>
            <a:ext uri="{FF2B5EF4-FFF2-40B4-BE49-F238E27FC236}">
              <a16:creationId xmlns:a16="http://schemas.microsoft.com/office/drawing/2014/main" xmlns="" id="{3C7DCF88-00F8-4997-B419-1E84725ABDC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29" name="TextBox 1228">
          <a:extLst>
            <a:ext uri="{FF2B5EF4-FFF2-40B4-BE49-F238E27FC236}">
              <a16:creationId xmlns:a16="http://schemas.microsoft.com/office/drawing/2014/main" xmlns="" id="{00916725-91A4-49EE-8B38-6004922211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0" name="TextBox 1229">
          <a:extLst>
            <a:ext uri="{FF2B5EF4-FFF2-40B4-BE49-F238E27FC236}">
              <a16:creationId xmlns:a16="http://schemas.microsoft.com/office/drawing/2014/main" xmlns="" id="{E0E174CA-BA22-4113-87A6-0983D31304A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1" name="TextBox 1230">
          <a:extLst>
            <a:ext uri="{FF2B5EF4-FFF2-40B4-BE49-F238E27FC236}">
              <a16:creationId xmlns:a16="http://schemas.microsoft.com/office/drawing/2014/main" xmlns="" id="{EE5FBC1B-84A7-47A1-813A-2EF3A93D955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2" name="TextBox 1231">
          <a:extLst>
            <a:ext uri="{FF2B5EF4-FFF2-40B4-BE49-F238E27FC236}">
              <a16:creationId xmlns:a16="http://schemas.microsoft.com/office/drawing/2014/main" xmlns="" id="{1E30CA35-457A-4BDA-B74D-CBC097AA220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3" name="TextBox 1232">
          <a:extLst>
            <a:ext uri="{FF2B5EF4-FFF2-40B4-BE49-F238E27FC236}">
              <a16:creationId xmlns:a16="http://schemas.microsoft.com/office/drawing/2014/main" xmlns="" id="{47D35E42-4119-4F49-9639-1912F8E1EDB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4" name="TextBox 1233">
          <a:extLst>
            <a:ext uri="{FF2B5EF4-FFF2-40B4-BE49-F238E27FC236}">
              <a16:creationId xmlns:a16="http://schemas.microsoft.com/office/drawing/2014/main" xmlns="" id="{B2D1F080-C4AD-440B-A63D-9595916A46B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5" name="TextBox 1234">
          <a:extLst>
            <a:ext uri="{FF2B5EF4-FFF2-40B4-BE49-F238E27FC236}">
              <a16:creationId xmlns:a16="http://schemas.microsoft.com/office/drawing/2014/main" xmlns="" id="{7444F88E-BF0F-4AC5-A380-6F54D817C72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6" name="TextBox 1235">
          <a:extLst>
            <a:ext uri="{FF2B5EF4-FFF2-40B4-BE49-F238E27FC236}">
              <a16:creationId xmlns:a16="http://schemas.microsoft.com/office/drawing/2014/main" xmlns="" id="{2E16E050-9306-49A1-8164-0AC0558EA6B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7" name="TextBox 1236">
          <a:extLst>
            <a:ext uri="{FF2B5EF4-FFF2-40B4-BE49-F238E27FC236}">
              <a16:creationId xmlns:a16="http://schemas.microsoft.com/office/drawing/2014/main" xmlns="" id="{800C048F-6C8D-409E-8BAB-7046BB1E734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8" name="TextBox 1237">
          <a:extLst>
            <a:ext uri="{FF2B5EF4-FFF2-40B4-BE49-F238E27FC236}">
              <a16:creationId xmlns:a16="http://schemas.microsoft.com/office/drawing/2014/main" xmlns="" id="{D30879D0-C876-4286-B52E-E1EDC6CF9FD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39" name="TextBox 1238">
          <a:extLst>
            <a:ext uri="{FF2B5EF4-FFF2-40B4-BE49-F238E27FC236}">
              <a16:creationId xmlns:a16="http://schemas.microsoft.com/office/drawing/2014/main" xmlns="" id="{F0503E0F-A3A6-4ACC-9BA3-C00E292DF10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0" name="TextBox 1239">
          <a:extLst>
            <a:ext uri="{FF2B5EF4-FFF2-40B4-BE49-F238E27FC236}">
              <a16:creationId xmlns:a16="http://schemas.microsoft.com/office/drawing/2014/main" xmlns="" id="{8DBF58BF-6250-4D34-8850-8D63762C662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1" name="TextBox 1240">
          <a:extLst>
            <a:ext uri="{FF2B5EF4-FFF2-40B4-BE49-F238E27FC236}">
              <a16:creationId xmlns:a16="http://schemas.microsoft.com/office/drawing/2014/main" xmlns="" id="{A7E071F9-BD0B-4BE9-9C97-EB0979A72B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2" name="TextBox 1241">
          <a:extLst>
            <a:ext uri="{FF2B5EF4-FFF2-40B4-BE49-F238E27FC236}">
              <a16:creationId xmlns:a16="http://schemas.microsoft.com/office/drawing/2014/main" xmlns="" id="{AF1D36EC-E6C8-4DEC-B48A-0988B8DEE75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3" name="TextBox 1242">
          <a:extLst>
            <a:ext uri="{FF2B5EF4-FFF2-40B4-BE49-F238E27FC236}">
              <a16:creationId xmlns:a16="http://schemas.microsoft.com/office/drawing/2014/main" xmlns="" id="{13D8BC67-B660-40FB-8F7F-1DB9A081DD4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4" name="TextBox 1243">
          <a:extLst>
            <a:ext uri="{FF2B5EF4-FFF2-40B4-BE49-F238E27FC236}">
              <a16:creationId xmlns:a16="http://schemas.microsoft.com/office/drawing/2014/main" xmlns="" id="{FD91E76C-E399-4CD1-A2E2-86E1B3BDA89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5" name="TextBox 1244">
          <a:extLst>
            <a:ext uri="{FF2B5EF4-FFF2-40B4-BE49-F238E27FC236}">
              <a16:creationId xmlns:a16="http://schemas.microsoft.com/office/drawing/2014/main" xmlns="" id="{3222AA44-EC72-46C8-B0B3-D5136AB349C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6" name="TextBox 1245">
          <a:extLst>
            <a:ext uri="{FF2B5EF4-FFF2-40B4-BE49-F238E27FC236}">
              <a16:creationId xmlns:a16="http://schemas.microsoft.com/office/drawing/2014/main" xmlns="" id="{0B1D65DB-85DE-40E7-B966-F6967ADAE79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7" name="TextBox 1246">
          <a:extLst>
            <a:ext uri="{FF2B5EF4-FFF2-40B4-BE49-F238E27FC236}">
              <a16:creationId xmlns:a16="http://schemas.microsoft.com/office/drawing/2014/main" xmlns="" id="{02E5F554-1117-4DA9-903D-B3E77D72A41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8" name="TextBox 1247">
          <a:extLst>
            <a:ext uri="{FF2B5EF4-FFF2-40B4-BE49-F238E27FC236}">
              <a16:creationId xmlns:a16="http://schemas.microsoft.com/office/drawing/2014/main" xmlns="" id="{54B3BA59-D4F6-42A7-BDE5-14A4C646652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49" name="TextBox 1248">
          <a:extLst>
            <a:ext uri="{FF2B5EF4-FFF2-40B4-BE49-F238E27FC236}">
              <a16:creationId xmlns:a16="http://schemas.microsoft.com/office/drawing/2014/main" xmlns="" id="{792BC625-9E08-4F62-B618-4275364DB8F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0" name="TextBox 1249">
          <a:extLst>
            <a:ext uri="{FF2B5EF4-FFF2-40B4-BE49-F238E27FC236}">
              <a16:creationId xmlns:a16="http://schemas.microsoft.com/office/drawing/2014/main" xmlns="" id="{E65C35C3-F991-43F9-8FA8-B36F2CC83C2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1" name="TextBox 1250">
          <a:extLst>
            <a:ext uri="{FF2B5EF4-FFF2-40B4-BE49-F238E27FC236}">
              <a16:creationId xmlns:a16="http://schemas.microsoft.com/office/drawing/2014/main" xmlns="" id="{C0D20F52-979A-43B2-A726-BF6746CFF15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2" name="TextBox 1251">
          <a:extLst>
            <a:ext uri="{FF2B5EF4-FFF2-40B4-BE49-F238E27FC236}">
              <a16:creationId xmlns:a16="http://schemas.microsoft.com/office/drawing/2014/main" xmlns="" id="{1D4D0BEB-5575-472D-A8B3-47345E73C2D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3" name="TextBox 1252">
          <a:extLst>
            <a:ext uri="{FF2B5EF4-FFF2-40B4-BE49-F238E27FC236}">
              <a16:creationId xmlns:a16="http://schemas.microsoft.com/office/drawing/2014/main" xmlns="" id="{7EC4D970-92EB-43F4-AA18-6C7CE5D5800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4" name="TextBox 1253">
          <a:extLst>
            <a:ext uri="{FF2B5EF4-FFF2-40B4-BE49-F238E27FC236}">
              <a16:creationId xmlns:a16="http://schemas.microsoft.com/office/drawing/2014/main" xmlns="" id="{2CCD8741-1095-4E71-AAD5-3485DC15AE2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5" name="TextBox 1254">
          <a:extLst>
            <a:ext uri="{FF2B5EF4-FFF2-40B4-BE49-F238E27FC236}">
              <a16:creationId xmlns:a16="http://schemas.microsoft.com/office/drawing/2014/main" xmlns="" id="{E71A89A1-F719-4BC9-B3DD-83F3A1C87D5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6" name="TextBox 1255">
          <a:extLst>
            <a:ext uri="{FF2B5EF4-FFF2-40B4-BE49-F238E27FC236}">
              <a16:creationId xmlns:a16="http://schemas.microsoft.com/office/drawing/2014/main" xmlns="" id="{B69D0FB0-75C6-448E-8A04-792BDE66D04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7" name="TextBox 1256">
          <a:extLst>
            <a:ext uri="{FF2B5EF4-FFF2-40B4-BE49-F238E27FC236}">
              <a16:creationId xmlns:a16="http://schemas.microsoft.com/office/drawing/2014/main" xmlns="" id="{FC68A8F7-00A8-4C08-865F-2B3D7555EDD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8" name="TextBox 1257">
          <a:extLst>
            <a:ext uri="{FF2B5EF4-FFF2-40B4-BE49-F238E27FC236}">
              <a16:creationId xmlns:a16="http://schemas.microsoft.com/office/drawing/2014/main" xmlns="" id="{236D8FDB-A0BB-43E7-A1A5-BF6F712DC20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59" name="TextBox 1258">
          <a:extLst>
            <a:ext uri="{FF2B5EF4-FFF2-40B4-BE49-F238E27FC236}">
              <a16:creationId xmlns:a16="http://schemas.microsoft.com/office/drawing/2014/main" xmlns="" id="{4C259AC6-BC24-4B17-A3E5-2B86A141EF2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0" name="TextBox 1259">
          <a:extLst>
            <a:ext uri="{FF2B5EF4-FFF2-40B4-BE49-F238E27FC236}">
              <a16:creationId xmlns:a16="http://schemas.microsoft.com/office/drawing/2014/main" xmlns="" id="{32C14304-911C-47EB-B215-5317A718AA4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1" name="TextBox 1260">
          <a:extLst>
            <a:ext uri="{FF2B5EF4-FFF2-40B4-BE49-F238E27FC236}">
              <a16:creationId xmlns:a16="http://schemas.microsoft.com/office/drawing/2014/main" xmlns="" id="{143B236B-AA57-4A98-9745-84C1D1C6A0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2" name="TextBox 1261">
          <a:extLst>
            <a:ext uri="{FF2B5EF4-FFF2-40B4-BE49-F238E27FC236}">
              <a16:creationId xmlns:a16="http://schemas.microsoft.com/office/drawing/2014/main" xmlns="" id="{E5F9534D-52E4-45F7-9817-03F8D94A685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3" name="TextBox 1262">
          <a:extLst>
            <a:ext uri="{FF2B5EF4-FFF2-40B4-BE49-F238E27FC236}">
              <a16:creationId xmlns:a16="http://schemas.microsoft.com/office/drawing/2014/main" xmlns="" id="{679861C3-F123-4922-84A9-CB7FB6AFA9C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4" name="TextBox 1263">
          <a:extLst>
            <a:ext uri="{FF2B5EF4-FFF2-40B4-BE49-F238E27FC236}">
              <a16:creationId xmlns:a16="http://schemas.microsoft.com/office/drawing/2014/main" xmlns="" id="{9E2D10B4-AE40-4EB5-884F-59877375967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5" name="TextBox 1264">
          <a:extLst>
            <a:ext uri="{FF2B5EF4-FFF2-40B4-BE49-F238E27FC236}">
              <a16:creationId xmlns:a16="http://schemas.microsoft.com/office/drawing/2014/main" xmlns="" id="{75C4CBAC-365A-4DB8-B081-97D48303600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6" name="TextBox 1265">
          <a:extLst>
            <a:ext uri="{FF2B5EF4-FFF2-40B4-BE49-F238E27FC236}">
              <a16:creationId xmlns:a16="http://schemas.microsoft.com/office/drawing/2014/main" xmlns="" id="{D36A96DA-CD66-4A48-892F-8DF475834E3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7" name="TextBox 1266">
          <a:extLst>
            <a:ext uri="{FF2B5EF4-FFF2-40B4-BE49-F238E27FC236}">
              <a16:creationId xmlns:a16="http://schemas.microsoft.com/office/drawing/2014/main" xmlns="" id="{4B52C458-09CF-4733-BAA4-A45FAE4AAFF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8" name="TextBox 1267">
          <a:extLst>
            <a:ext uri="{FF2B5EF4-FFF2-40B4-BE49-F238E27FC236}">
              <a16:creationId xmlns:a16="http://schemas.microsoft.com/office/drawing/2014/main" xmlns="" id="{EC800D0F-214C-4F73-AD9B-DFC89F7EB72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69" name="TextBox 1268">
          <a:extLst>
            <a:ext uri="{FF2B5EF4-FFF2-40B4-BE49-F238E27FC236}">
              <a16:creationId xmlns:a16="http://schemas.microsoft.com/office/drawing/2014/main" xmlns="" id="{EF10E661-7B12-4CD2-BD10-BE07F0E5137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0" name="TextBox 1269">
          <a:extLst>
            <a:ext uri="{FF2B5EF4-FFF2-40B4-BE49-F238E27FC236}">
              <a16:creationId xmlns:a16="http://schemas.microsoft.com/office/drawing/2014/main" xmlns="" id="{3D4F5E08-8FEE-4918-965D-CC70133D2AA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1" name="TextBox 1270">
          <a:extLst>
            <a:ext uri="{FF2B5EF4-FFF2-40B4-BE49-F238E27FC236}">
              <a16:creationId xmlns:a16="http://schemas.microsoft.com/office/drawing/2014/main" xmlns="" id="{BF873307-7989-4D7C-8C4C-1654508E38C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2" name="TextBox 1271">
          <a:extLst>
            <a:ext uri="{FF2B5EF4-FFF2-40B4-BE49-F238E27FC236}">
              <a16:creationId xmlns:a16="http://schemas.microsoft.com/office/drawing/2014/main" xmlns="" id="{43B057AC-81EC-4570-8133-305E6A8455E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3" name="TextBox 1272">
          <a:extLst>
            <a:ext uri="{FF2B5EF4-FFF2-40B4-BE49-F238E27FC236}">
              <a16:creationId xmlns:a16="http://schemas.microsoft.com/office/drawing/2014/main" xmlns="" id="{5D1E9905-A370-4213-99AA-4F56826D5E8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4" name="TextBox 1273">
          <a:extLst>
            <a:ext uri="{FF2B5EF4-FFF2-40B4-BE49-F238E27FC236}">
              <a16:creationId xmlns:a16="http://schemas.microsoft.com/office/drawing/2014/main" xmlns="" id="{104F802C-581E-4D25-84BF-C6D7D619932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5" name="TextBox 1274">
          <a:extLst>
            <a:ext uri="{FF2B5EF4-FFF2-40B4-BE49-F238E27FC236}">
              <a16:creationId xmlns:a16="http://schemas.microsoft.com/office/drawing/2014/main" xmlns="" id="{3B2ABFC4-AA70-4503-9695-9158321654E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6" name="TextBox 1275">
          <a:extLst>
            <a:ext uri="{FF2B5EF4-FFF2-40B4-BE49-F238E27FC236}">
              <a16:creationId xmlns:a16="http://schemas.microsoft.com/office/drawing/2014/main" xmlns="" id="{FA2B085F-6A3B-4BCC-BA6E-BF9BCB7A6EF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7" name="TextBox 1276">
          <a:extLst>
            <a:ext uri="{FF2B5EF4-FFF2-40B4-BE49-F238E27FC236}">
              <a16:creationId xmlns:a16="http://schemas.microsoft.com/office/drawing/2014/main" xmlns="" id="{1C629EB1-CAEA-465E-93CD-06172E5015F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8" name="TextBox 1277">
          <a:extLst>
            <a:ext uri="{FF2B5EF4-FFF2-40B4-BE49-F238E27FC236}">
              <a16:creationId xmlns:a16="http://schemas.microsoft.com/office/drawing/2014/main" xmlns="" id="{A742594C-98D6-4476-AB1E-1E30C29BB68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79" name="TextBox 1278">
          <a:extLst>
            <a:ext uri="{FF2B5EF4-FFF2-40B4-BE49-F238E27FC236}">
              <a16:creationId xmlns:a16="http://schemas.microsoft.com/office/drawing/2014/main" xmlns="" id="{9A5F85D9-55AD-4450-B73B-C4DE1BAF92A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0" name="TextBox 1279">
          <a:extLst>
            <a:ext uri="{FF2B5EF4-FFF2-40B4-BE49-F238E27FC236}">
              <a16:creationId xmlns:a16="http://schemas.microsoft.com/office/drawing/2014/main" xmlns="" id="{010205D6-17A5-4C71-9E46-0E093F0446A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1" name="TextBox 1280">
          <a:extLst>
            <a:ext uri="{FF2B5EF4-FFF2-40B4-BE49-F238E27FC236}">
              <a16:creationId xmlns:a16="http://schemas.microsoft.com/office/drawing/2014/main" xmlns="" id="{1CDAF977-D834-4CBF-ADE8-B1523CBF4C1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2" name="TextBox 1281">
          <a:extLst>
            <a:ext uri="{FF2B5EF4-FFF2-40B4-BE49-F238E27FC236}">
              <a16:creationId xmlns:a16="http://schemas.microsoft.com/office/drawing/2014/main" xmlns="" id="{80C3AA79-C0A4-4759-99FF-160706E1E87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3" name="TextBox 1282">
          <a:extLst>
            <a:ext uri="{FF2B5EF4-FFF2-40B4-BE49-F238E27FC236}">
              <a16:creationId xmlns:a16="http://schemas.microsoft.com/office/drawing/2014/main" xmlns="" id="{557D06E9-AB4B-4792-AEB1-812088004F9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4" name="TextBox 1283">
          <a:extLst>
            <a:ext uri="{FF2B5EF4-FFF2-40B4-BE49-F238E27FC236}">
              <a16:creationId xmlns:a16="http://schemas.microsoft.com/office/drawing/2014/main" xmlns="" id="{6ED7A77E-0012-45F4-A074-E2BCB238196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5" name="TextBox 1284">
          <a:extLst>
            <a:ext uri="{FF2B5EF4-FFF2-40B4-BE49-F238E27FC236}">
              <a16:creationId xmlns:a16="http://schemas.microsoft.com/office/drawing/2014/main" xmlns="" id="{CF8E8690-7D13-473C-B2E2-9A76B31D62D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6" name="TextBox 1285">
          <a:extLst>
            <a:ext uri="{FF2B5EF4-FFF2-40B4-BE49-F238E27FC236}">
              <a16:creationId xmlns:a16="http://schemas.microsoft.com/office/drawing/2014/main" xmlns="" id="{9BEC88E1-5973-45EF-9611-5B877000D78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7" name="TextBox 1286">
          <a:extLst>
            <a:ext uri="{FF2B5EF4-FFF2-40B4-BE49-F238E27FC236}">
              <a16:creationId xmlns:a16="http://schemas.microsoft.com/office/drawing/2014/main" xmlns="" id="{CD4BB901-2C8F-4293-B381-F5D9E1BC7B1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8" name="TextBox 1287">
          <a:extLst>
            <a:ext uri="{FF2B5EF4-FFF2-40B4-BE49-F238E27FC236}">
              <a16:creationId xmlns:a16="http://schemas.microsoft.com/office/drawing/2014/main" xmlns="" id="{A0537284-5BB8-4C74-A8C5-D3DA999D6BA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89" name="TextBox 1288">
          <a:extLst>
            <a:ext uri="{FF2B5EF4-FFF2-40B4-BE49-F238E27FC236}">
              <a16:creationId xmlns:a16="http://schemas.microsoft.com/office/drawing/2014/main" xmlns="" id="{1636E179-C31E-4A1C-B1CA-56AF268245B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0" name="TextBox 1289">
          <a:extLst>
            <a:ext uri="{FF2B5EF4-FFF2-40B4-BE49-F238E27FC236}">
              <a16:creationId xmlns:a16="http://schemas.microsoft.com/office/drawing/2014/main" xmlns="" id="{7D65C273-BAD1-4977-B758-C4F09B4B3E8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1" name="TextBox 1290">
          <a:extLst>
            <a:ext uri="{FF2B5EF4-FFF2-40B4-BE49-F238E27FC236}">
              <a16:creationId xmlns:a16="http://schemas.microsoft.com/office/drawing/2014/main" xmlns="" id="{C5208180-AFF3-4BA5-AD4D-1F409DEF14E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2" name="TextBox 1291">
          <a:extLst>
            <a:ext uri="{FF2B5EF4-FFF2-40B4-BE49-F238E27FC236}">
              <a16:creationId xmlns:a16="http://schemas.microsoft.com/office/drawing/2014/main" xmlns="" id="{C5C4C4CC-6009-498F-912D-798EC56E8F2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3" name="TextBox 1292">
          <a:extLst>
            <a:ext uri="{FF2B5EF4-FFF2-40B4-BE49-F238E27FC236}">
              <a16:creationId xmlns:a16="http://schemas.microsoft.com/office/drawing/2014/main" xmlns="" id="{04C2CA15-FC3B-4625-B04D-B629456E031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4" name="TextBox 1293">
          <a:extLst>
            <a:ext uri="{FF2B5EF4-FFF2-40B4-BE49-F238E27FC236}">
              <a16:creationId xmlns:a16="http://schemas.microsoft.com/office/drawing/2014/main" xmlns="" id="{C68613E7-0F63-4C30-AAAA-51477B879F1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5" name="TextBox 1294">
          <a:extLst>
            <a:ext uri="{FF2B5EF4-FFF2-40B4-BE49-F238E27FC236}">
              <a16:creationId xmlns:a16="http://schemas.microsoft.com/office/drawing/2014/main" xmlns="" id="{E2E6F1E3-0F21-4EC3-BEE3-737F9EC17AA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6" name="TextBox 1295">
          <a:extLst>
            <a:ext uri="{FF2B5EF4-FFF2-40B4-BE49-F238E27FC236}">
              <a16:creationId xmlns:a16="http://schemas.microsoft.com/office/drawing/2014/main" xmlns="" id="{A0A64D02-6C28-4DBC-BF6D-C1CDCF4A9D5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7" name="TextBox 1296">
          <a:extLst>
            <a:ext uri="{FF2B5EF4-FFF2-40B4-BE49-F238E27FC236}">
              <a16:creationId xmlns:a16="http://schemas.microsoft.com/office/drawing/2014/main" xmlns="" id="{FFB4559E-DA99-4AB8-9331-844FC3C3BD3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8" name="TextBox 1297">
          <a:extLst>
            <a:ext uri="{FF2B5EF4-FFF2-40B4-BE49-F238E27FC236}">
              <a16:creationId xmlns:a16="http://schemas.microsoft.com/office/drawing/2014/main" xmlns="" id="{A3C6FE62-6132-419C-A978-2548CC426A6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299" name="TextBox 1298">
          <a:extLst>
            <a:ext uri="{FF2B5EF4-FFF2-40B4-BE49-F238E27FC236}">
              <a16:creationId xmlns:a16="http://schemas.microsoft.com/office/drawing/2014/main" xmlns="" id="{7E68E84B-D064-41EE-905B-2A16EF78148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0" name="TextBox 1299">
          <a:extLst>
            <a:ext uri="{FF2B5EF4-FFF2-40B4-BE49-F238E27FC236}">
              <a16:creationId xmlns:a16="http://schemas.microsoft.com/office/drawing/2014/main" xmlns="" id="{02A26771-AA11-4437-AEC4-2D8C803A0C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1" name="TextBox 1300">
          <a:extLst>
            <a:ext uri="{FF2B5EF4-FFF2-40B4-BE49-F238E27FC236}">
              <a16:creationId xmlns:a16="http://schemas.microsoft.com/office/drawing/2014/main" xmlns="" id="{5F0963EE-BF48-405D-A6CB-2B85259D6FA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2" name="TextBox 1301">
          <a:extLst>
            <a:ext uri="{FF2B5EF4-FFF2-40B4-BE49-F238E27FC236}">
              <a16:creationId xmlns:a16="http://schemas.microsoft.com/office/drawing/2014/main" xmlns="" id="{F675B985-5327-4322-A950-66C8804B3F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3" name="TextBox 1302">
          <a:extLst>
            <a:ext uri="{FF2B5EF4-FFF2-40B4-BE49-F238E27FC236}">
              <a16:creationId xmlns:a16="http://schemas.microsoft.com/office/drawing/2014/main" xmlns="" id="{F79AEBCF-654C-4017-89F6-B0C7213E99C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4" name="TextBox 1303">
          <a:extLst>
            <a:ext uri="{FF2B5EF4-FFF2-40B4-BE49-F238E27FC236}">
              <a16:creationId xmlns:a16="http://schemas.microsoft.com/office/drawing/2014/main" xmlns="" id="{0BB2C1F4-134F-4589-BBE7-B721192A59C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5" name="TextBox 1304">
          <a:extLst>
            <a:ext uri="{FF2B5EF4-FFF2-40B4-BE49-F238E27FC236}">
              <a16:creationId xmlns:a16="http://schemas.microsoft.com/office/drawing/2014/main" xmlns="" id="{D35E72B6-7BA0-4E11-927B-2BEA3058580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6" name="TextBox 1305">
          <a:extLst>
            <a:ext uri="{FF2B5EF4-FFF2-40B4-BE49-F238E27FC236}">
              <a16:creationId xmlns:a16="http://schemas.microsoft.com/office/drawing/2014/main" xmlns="" id="{595EBCBC-AC49-408B-8CEE-EDDBDF893A9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7" name="TextBox 1306">
          <a:extLst>
            <a:ext uri="{FF2B5EF4-FFF2-40B4-BE49-F238E27FC236}">
              <a16:creationId xmlns:a16="http://schemas.microsoft.com/office/drawing/2014/main" xmlns="" id="{645C81CB-ACC4-4767-8643-05686EA4BA7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8" name="TextBox 1307">
          <a:extLst>
            <a:ext uri="{FF2B5EF4-FFF2-40B4-BE49-F238E27FC236}">
              <a16:creationId xmlns:a16="http://schemas.microsoft.com/office/drawing/2014/main" xmlns="" id="{F0AA828A-056D-455C-B927-4238E0E27BD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09" name="TextBox 1308">
          <a:extLst>
            <a:ext uri="{FF2B5EF4-FFF2-40B4-BE49-F238E27FC236}">
              <a16:creationId xmlns:a16="http://schemas.microsoft.com/office/drawing/2014/main" xmlns="" id="{281385A2-45D0-4B0D-954A-AF2FE90B366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0" name="TextBox 1309">
          <a:extLst>
            <a:ext uri="{FF2B5EF4-FFF2-40B4-BE49-F238E27FC236}">
              <a16:creationId xmlns:a16="http://schemas.microsoft.com/office/drawing/2014/main" xmlns="" id="{CFF6D683-59C9-4CBF-A46C-61E27C305DA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1" name="TextBox 1310">
          <a:extLst>
            <a:ext uri="{FF2B5EF4-FFF2-40B4-BE49-F238E27FC236}">
              <a16:creationId xmlns:a16="http://schemas.microsoft.com/office/drawing/2014/main" xmlns="" id="{F2ADE1EB-4CB1-43C9-BA69-36FB54B9273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2" name="TextBox 1311">
          <a:extLst>
            <a:ext uri="{FF2B5EF4-FFF2-40B4-BE49-F238E27FC236}">
              <a16:creationId xmlns:a16="http://schemas.microsoft.com/office/drawing/2014/main" xmlns="" id="{0A179D7D-F19F-4D06-803B-3522E256FE4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3" name="TextBox 1312">
          <a:extLst>
            <a:ext uri="{FF2B5EF4-FFF2-40B4-BE49-F238E27FC236}">
              <a16:creationId xmlns:a16="http://schemas.microsoft.com/office/drawing/2014/main" xmlns="" id="{D02E7102-983B-4263-A700-96C6C7259CF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4" name="TextBox 1313">
          <a:extLst>
            <a:ext uri="{FF2B5EF4-FFF2-40B4-BE49-F238E27FC236}">
              <a16:creationId xmlns:a16="http://schemas.microsoft.com/office/drawing/2014/main" xmlns="" id="{0E8BBB16-47C4-4CF5-A097-0FD5FF99C9F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5" name="TextBox 1314">
          <a:extLst>
            <a:ext uri="{FF2B5EF4-FFF2-40B4-BE49-F238E27FC236}">
              <a16:creationId xmlns:a16="http://schemas.microsoft.com/office/drawing/2014/main" xmlns="" id="{2B4AF9E8-9DB4-419C-B113-78C04B87E5A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6" name="TextBox 1315">
          <a:extLst>
            <a:ext uri="{FF2B5EF4-FFF2-40B4-BE49-F238E27FC236}">
              <a16:creationId xmlns:a16="http://schemas.microsoft.com/office/drawing/2014/main" xmlns="" id="{7D4F49EF-A659-4C8B-A613-18B1DD7BCE6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7" name="TextBox 1316">
          <a:extLst>
            <a:ext uri="{FF2B5EF4-FFF2-40B4-BE49-F238E27FC236}">
              <a16:creationId xmlns:a16="http://schemas.microsoft.com/office/drawing/2014/main" xmlns="" id="{E3F2B76B-A981-475E-A7C5-2B1C345C3A0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8" name="TextBox 1317">
          <a:extLst>
            <a:ext uri="{FF2B5EF4-FFF2-40B4-BE49-F238E27FC236}">
              <a16:creationId xmlns:a16="http://schemas.microsoft.com/office/drawing/2014/main" xmlns="" id="{E3862E03-DD2C-421B-8C60-C73B019CB9F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19" name="TextBox 1318">
          <a:extLst>
            <a:ext uri="{FF2B5EF4-FFF2-40B4-BE49-F238E27FC236}">
              <a16:creationId xmlns:a16="http://schemas.microsoft.com/office/drawing/2014/main" xmlns="" id="{AFCFEEB3-EB94-4AA1-A567-F9BC749BAD6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0" name="TextBox 1319">
          <a:extLst>
            <a:ext uri="{FF2B5EF4-FFF2-40B4-BE49-F238E27FC236}">
              <a16:creationId xmlns:a16="http://schemas.microsoft.com/office/drawing/2014/main" xmlns="" id="{51260699-99A5-4022-B9B2-32A9ACFAAF6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1" name="TextBox 1320">
          <a:extLst>
            <a:ext uri="{FF2B5EF4-FFF2-40B4-BE49-F238E27FC236}">
              <a16:creationId xmlns:a16="http://schemas.microsoft.com/office/drawing/2014/main" xmlns="" id="{095E6D2E-3978-45BC-8C00-7AA69C92F5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2" name="TextBox 1321">
          <a:extLst>
            <a:ext uri="{FF2B5EF4-FFF2-40B4-BE49-F238E27FC236}">
              <a16:creationId xmlns:a16="http://schemas.microsoft.com/office/drawing/2014/main" xmlns="" id="{0141795B-C558-4EDD-B6C2-8FAECD15B80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3" name="TextBox 1322">
          <a:extLst>
            <a:ext uri="{FF2B5EF4-FFF2-40B4-BE49-F238E27FC236}">
              <a16:creationId xmlns:a16="http://schemas.microsoft.com/office/drawing/2014/main" xmlns="" id="{9797FF88-854D-4BE2-A457-6E04223AC4B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4" name="TextBox 1323">
          <a:extLst>
            <a:ext uri="{FF2B5EF4-FFF2-40B4-BE49-F238E27FC236}">
              <a16:creationId xmlns:a16="http://schemas.microsoft.com/office/drawing/2014/main" xmlns="" id="{EDDCFE46-16F3-4806-8D93-7472D205A55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5" name="TextBox 1324">
          <a:extLst>
            <a:ext uri="{FF2B5EF4-FFF2-40B4-BE49-F238E27FC236}">
              <a16:creationId xmlns:a16="http://schemas.microsoft.com/office/drawing/2014/main" xmlns="" id="{0B593CC6-F1F8-426A-864D-D24147C9157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6" name="TextBox 1325">
          <a:extLst>
            <a:ext uri="{FF2B5EF4-FFF2-40B4-BE49-F238E27FC236}">
              <a16:creationId xmlns:a16="http://schemas.microsoft.com/office/drawing/2014/main" xmlns="" id="{69A968B4-EF32-4500-A74D-C99F77B7FD0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7" name="TextBox 1326">
          <a:extLst>
            <a:ext uri="{FF2B5EF4-FFF2-40B4-BE49-F238E27FC236}">
              <a16:creationId xmlns:a16="http://schemas.microsoft.com/office/drawing/2014/main" xmlns="" id="{C7702188-81C3-45AF-BF80-422915C0A73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8" name="TextBox 1327">
          <a:extLst>
            <a:ext uri="{FF2B5EF4-FFF2-40B4-BE49-F238E27FC236}">
              <a16:creationId xmlns:a16="http://schemas.microsoft.com/office/drawing/2014/main" xmlns="" id="{517A63CF-EBBE-44DF-871B-E9C88E3E814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29" name="TextBox 1328">
          <a:extLst>
            <a:ext uri="{FF2B5EF4-FFF2-40B4-BE49-F238E27FC236}">
              <a16:creationId xmlns:a16="http://schemas.microsoft.com/office/drawing/2014/main" xmlns="" id="{6CFC2537-1DF1-4166-A326-583DDA5BA94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0" name="TextBox 1329">
          <a:extLst>
            <a:ext uri="{FF2B5EF4-FFF2-40B4-BE49-F238E27FC236}">
              <a16:creationId xmlns:a16="http://schemas.microsoft.com/office/drawing/2014/main" xmlns="" id="{48648511-9CE3-401C-9AA4-B2D77477DAB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1" name="TextBox 1330">
          <a:extLst>
            <a:ext uri="{FF2B5EF4-FFF2-40B4-BE49-F238E27FC236}">
              <a16:creationId xmlns:a16="http://schemas.microsoft.com/office/drawing/2014/main" xmlns="" id="{63E7545F-A6F1-4546-8FC3-4D8487AA23B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2" name="TextBox 1331">
          <a:extLst>
            <a:ext uri="{FF2B5EF4-FFF2-40B4-BE49-F238E27FC236}">
              <a16:creationId xmlns:a16="http://schemas.microsoft.com/office/drawing/2014/main" xmlns="" id="{4634C3D9-5E68-4B45-BD90-ED17A0CE217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3" name="TextBox 1332">
          <a:extLst>
            <a:ext uri="{FF2B5EF4-FFF2-40B4-BE49-F238E27FC236}">
              <a16:creationId xmlns:a16="http://schemas.microsoft.com/office/drawing/2014/main" xmlns="" id="{67759AC0-46D8-4989-922F-43BFE3062F0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4" name="TextBox 1333">
          <a:extLst>
            <a:ext uri="{FF2B5EF4-FFF2-40B4-BE49-F238E27FC236}">
              <a16:creationId xmlns:a16="http://schemas.microsoft.com/office/drawing/2014/main" xmlns="" id="{AAEC9BB3-0C9B-4C8F-BE51-1A8F86FEBF1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5" name="TextBox 1334">
          <a:extLst>
            <a:ext uri="{FF2B5EF4-FFF2-40B4-BE49-F238E27FC236}">
              <a16:creationId xmlns:a16="http://schemas.microsoft.com/office/drawing/2014/main" xmlns="" id="{0FC0CDB8-703E-477B-A858-18DBE8975A6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6" name="TextBox 1335">
          <a:extLst>
            <a:ext uri="{FF2B5EF4-FFF2-40B4-BE49-F238E27FC236}">
              <a16:creationId xmlns:a16="http://schemas.microsoft.com/office/drawing/2014/main" xmlns="" id="{DDB1DD7D-9838-4F28-9141-4E272E50DCD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7" name="TextBox 1336">
          <a:extLst>
            <a:ext uri="{FF2B5EF4-FFF2-40B4-BE49-F238E27FC236}">
              <a16:creationId xmlns:a16="http://schemas.microsoft.com/office/drawing/2014/main" xmlns="" id="{C2B1D938-A408-4D2B-B06F-B6B339CA2EF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8" name="TextBox 1337">
          <a:extLst>
            <a:ext uri="{FF2B5EF4-FFF2-40B4-BE49-F238E27FC236}">
              <a16:creationId xmlns:a16="http://schemas.microsoft.com/office/drawing/2014/main" xmlns="" id="{E8E78C03-1AEE-44F8-A736-A353E18C041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39" name="TextBox 1338">
          <a:extLst>
            <a:ext uri="{FF2B5EF4-FFF2-40B4-BE49-F238E27FC236}">
              <a16:creationId xmlns:a16="http://schemas.microsoft.com/office/drawing/2014/main" xmlns="" id="{A8CE492B-B0CC-4C3A-90E9-68380D47A90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0" name="TextBox 1339">
          <a:extLst>
            <a:ext uri="{FF2B5EF4-FFF2-40B4-BE49-F238E27FC236}">
              <a16:creationId xmlns:a16="http://schemas.microsoft.com/office/drawing/2014/main" xmlns="" id="{6B0C80E3-6D82-409B-8102-947EE907753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1" name="TextBox 1340">
          <a:extLst>
            <a:ext uri="{FF2B5EF4-FFF2-40B4-BE49-F238E27FC236}">
              <a16:creationId xmlns:a16="http://schemas.microsoft.com/office/drawing/2014/main" xmlns="" id="{EAA78F1C-E8F7-4064-8D0B-CA83BFB4AC1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2" name="TextBox 1341">
          <a:extLst>
            <a:ext uri="{FF2B5EF4-FFF2-40B4-BE49-F238E27FC236}">
              <a16:creationId xmlns:a16="http://schemas.microsoft.com/office/drawing/2014/main" xmlns="" id="{D7E0CA21-5D83-4704-8F9E-458DC278073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3" name="TextBox 1342">
          <a:extLst>
            <a:ext uri="{FF2B5EF4-FFF2-40B4-BE49-F238E27FC236}">
              <a16:creationId xmlns:a16="http://schemas.microsoft.com/office/drawing/2014/main" xmlns="" id="{19DF8F2C-BA5A-492B-A821-617501D9B23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4" name="TextBox 1343">
          <a:extLst>
            <a:ext uri="{FF2B5EF4-FFF2-40B4-BE49-F238E27FC236}">
              <a16:creationId xmlns:a16="http://schemas.microsoft.com/office/drawing/2014/main" xmlns="" id="{80B7ED84-FE5F-4BB8-B1B5-F97753147A0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5" name="TextBox 1344">
          <a:extLst>
            <a:ext uri="{FF2B5EF4-FFF2-40B4-BE49-F238E27FC236}">
              <a16:creationId xmlns:a16="http://schemas.microsoft.com/office/drawing/2014/main" xmlns="" id="{F0BBEDE4-9B8C-48F8-9414-3045C4B29B7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6" name="TextBox 1345">
          <a:extLst>
            <a:ext uri="{FF2B5EF4-FFF2-40B4-BE49-F238E27FC236}">
              <a16:creationId xmlns:a16="http://schemas.microsoft.com/office/drawing/2014/main" xmlns="" id="{F0B154B9-A8B8-4FB5-B832-B81E63F3871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7" name="TextBox 1346">
          <a:extLst>
            <a:ext uri="{FF2B5EF4-FFF2-40B4-BE49-F238E27FC236}">
              <a16:creationId xmlns:a16="http://schemas.microsoft.com/office/drawing/2014/main" xmlns="" id="{DBD5E2E9-3109-446E-918D-ECB8431D5C8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8" name="TextBox 1347">
          <a:extLst>
            <a:ext uri="{FF2B5EF4-FFF2-40B4-BE49-F238E27FC236}">
              <a16:creationId xmlns:a16="http://schemas.microsoft.com/office/drawing/2014/main" xmlns="" id="{69277E76-E6C8-4CEA-862D-EE5C2E44E63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49" name="TextBox 1348">
          <a:extLst>
            <a:ext uri="{FF2B5EF4-FFF2-40B4-BE49-F238E27FC236}">
              <a16:creationId xmlns:a16="http://schemas.microsoft.com/office/drawing/2014/main" xmlns="" id="{08C3EE9F-19C6-4108-B181-24287079417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0" name="TextBox 1349">
          <a:extLst>
            <a:ext uri="{FF2B5EF4-FFF2-40B4-BE49-F238E27FC236}">
              <a16:creationId xmlns:a16="http://schemas.microsoft.com/office/drawing/2014/main" xmlns="" id="{A9DF8767-D8CA-4C48-872C-1B5F8EB9CF6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1" name="TextBox 1350">
          <a:extLst>
            <a:ext uri="{FF2B5EF4-FFF2-40B4-BE49-F238E27FC236}">
              <a16:creationId xmlns:a16="http://schemas.microsoft.com/office/drawing/2014/main" xmlns="" id="{E902841A-AC2B-46BE-852D-8729387705B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2" name="TextBox 1351">
          <a:extLst>
            <a:ext uri="{FF2B5EF4-FFF2-40B4-BE49-F238E27FC236}">
              <a16:creationId xmlns:a16="http://schemas.microsoft.com/office/drawing/2014/main" xmlns="" id="{3D7442BC-1A75-41C4-95A7-BA49774FFD8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3" name="TextBox 1352">
          <a:extLst>
            <a:ext uri="{FF2B5EF4-FFF2-40B4-BE49-F238E27FC236}">
              <a16:creationId xmlns:a16="http://schemas.microsoft.com/office/drawing/2014/main" xmlns="" id="{78CD6A7D-9002-4C95-8DF0-EF236DEF980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4" name="TextBox 1353">
          <a:extLst>
            <a:ext uri="{FF2B5EF4-FFF2-40B4-BE49-F238E27FC236}">
              <a16:creationId xmlns:a16="http://schemas.microsoft.com/office/drawing/2014/main" xmlns="" id="{BDC10F9D-B530-4460-B9A6-C8F7FF392B3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5" name="TextBox 1354">
          <a:extLst>
            <a:ext uri="{FF2B5EF4-FFF2-40B4-BE49-F238E27FC236}">
              <a16:creationId xmlns:a16="http://schemas.microsoft.com/office/drawing/2014/main" xmlns="" id="{66AEC136-CC58-4ED6-8C26-4E77EAEC3BA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6" name="TextBox 1355">
          <a:extLst>
            <a:ext uri="{FF2B5EF4-FFF2-40B4-BE49-F238E27FC236}">
              <a16:creationId xmlns:a16="http://schemas.microsoft.com/office/drawing/2014/main" xmlns="" id="{E1AC724C-0DE3-478D-AB26-321925A4C34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7" name="TextBox 1356">
          <a:extLst>
            <a:ext uri="{FF2B5EF4-FFF2-40B4-BE49-F238E27FC236}">
              <a16:creationId xmlns:a16="http://schemas.microsoft.com/office/drawing/2014/main" xmlns="" id="{F9E9883E-7302-4264-A844-8C5085C14EB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8" name="TextBox 1357">
          <a:extLst>
            <a:ext uri="{FF2B5EF4-FFF2-40B4-BE49-F238E27FC236}">
              <a16:creationId xmlns:a16="http://schemas.microsoft.com/office/drawing/2014/main" xmlns="" id="{EF74AD28-4DB3-4A04-9E31-BA39A8B3BA0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59" name="TextBox 1358">
          <a:extLst>
            <a:ext uri="{FF2B5EF4-FFF2-40B4-BE49-F238E27FC236}">
              <a16:creationId xmlns:a16="http://schemas.microsoft.com/office/drawing/2014/main" xmlns="" id="{181447D5-2726-4D17-8C20-59A2C4DDA8C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0" name="TextBox 1359">
          <a:extLst>
            <a:ext uri="{FF2B5EF4-FFF2-40B4-BE49-F238E27FC236}">
              <a16:creationId xmlns:a16="http://schemas.microsoft.com/office/drawing/2014/main" xmlns="" id="{0B48C436-A930-49F8-B1BD-303CA3D6EFF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1" name="TextBox 1360">
          <a:extLst>
            <a:ext uri="{FF2B5EF4-FFF2-40B4-BE49-F238E27FC236}">
              <a16:creationId xmlns:a16="http://schemas.microsoft.com/office/drawing/2014/main" xmlns="" id="{D98EE73E-9520-4A2D-A319-95B14F7D401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2" name="TextBox 1361">
          <a:extLst>
            <a:ext uri="{FF2B5EF4-FFF2-40B4-BE49-F238E27FC236}">
              <a16:creationId xmlns:a16="http://schemas.microsoft.com/office/drawing/2014/main" xmlns="" id="{2E22351C-C6CD-427D-ADAC-0F05EC7A1DC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3" name="TextBox 1362">
          <a:extLst>
            <a:ext uri="{FF2B5EF4-FFF2-40B4-BE49-F238E27FC236}">
              <a16:creationId xmlns:a16="http://schemas.microsoft.com/office/drawing/2014/main" xmlns="" id="{D34C78A8-7213-4CCA-8CA2-2C5F33CE894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4" name="TextBox 1363">
          <a:extLst>
            <a:ext uri="{FF2B5EF4-FFF2-40B4-BE49-F238E27FC236}">
              <a16:creationId xmlns:a16="http://schemas.microsoft.com/office/drawing/2014/main" xmlns="" id="{807C17EE-A432-4DA4-8D57-10B6AD69E01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5" name="TextBox 1364">
          <a:extLst>
            <a:ext uri="{FF2B5EF4-FFF2-40B4-BE49-F238E27FC236}">
              <a16:creationId xmlns:a16="http://schemas.microsoft.com/office/drawing/2014/main" xmlns="" id="{A67CEF4B-6F4C-4F78-9A5C-EB3F3D68B66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6" name="TextBox 1365">
          <a:extLst>
            <a:ext uri="{FF2B5EF4-FFF2-40B4-BE49-F238E27FC236}">
              <a16:creationId xmlns:a16="http://schemas.microsoft.com/office/drawing/2014/main" xmlns="" id="{93A586A5-2432-45E4-A67D-EE96756BA3A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7" name="TextBox 1366">
          <a:extLst>
            <a:ext uri="{FF2B5EF4-FFF2-40B4-BE49-F238E27FC236}">
              <a16:creationId xmlns:a16="http://schemas.microsoft.com/office/drawing/2014/main" xmlns="" id="{3DF0520F-E34D-4B5C-BC76-B5D25906091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8" name="TextBox 1367">
          <a:extLst>
            <a:ext uri="{FF2B5EF4-FFF2-40B4-BE49-F238E27FC236}">
              <a16:creationId xmlns:a16="http://schemas.microsoft.com/office/drawing/2014/main" xmlns="" id="{D54B229D-00FD-4F49-AF09-35D3BF7A328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69" name="TextBox 1368">
          <a:extLst>
            <a:ext uri="{FF2B5EF4-FFF2-40B4-BE49-F238E27FC236}">
              <a16:creationId xmlns:a16="http://schemas.microsoft.com/office/drawing/2014/main" xmlns="" id="{9C5CAD79-6B70-4D70-9C52-0EADF51E44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0" name="TextBox 1369">
          <a:extLst>
            <a:ext uri="{FF2B5EF4-FFF2-40B4-BE49-F238E27FC236}">
              <a16:creationId xmlns:a16="http://schemas.microsoft.com/office/drawing/2014/main" xmlns="" id="{2C7E1131-AFFA-4E53-9588-6B271C85E5B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1" name="TextBox 1370">
          <a:extLst>
            <a:ext uri="{FF2B5EF4-FFF2-40B4-BE49-F238E27FC236}">
              <a16:creationId xmlns:a16="http://schemas.microsoft.com/office/drawing/2014/main" xmlns="" id="{1AE048AE-1609-44DD-B4B5-451E9D00111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2" name="TextBox 1371">
          <a:extLst>
            <a:ext uri="{FF2B5EF4-FFF2-40B4-BE49-F238E27FC236}">
              <a16:creationId xmlns:a16="http://schemas.microsoft.com/office/drawing/2014/main" xmlns="" id="{FA0CCA6F-3086-4330-B051-6B08BAA0BFE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3" name="TextBox 1372">
          <a:extLst>
            <a:ext uri="{FF2B5EF4-FFF2-40B4-BE49-F238E27FC236}">
              <a16:creationId xmlns:a16="http://schemas.microsoft.com/office/drawing/2014/main" xmlns="" id="{6E8D0016-D97E-498A-AC04-24F118A246C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4" name="TextBox 1373">
          <a:extLst>
            <a:ext uri="{FF2B5EF4-FFF2-40B4-BE49-F238E27FC236}">
              <a16:creationId xmlns:a16="http://schemas.microsoft.com/office/drawing/2014/main" xmlns="" id="{375A31D4-88F9-4BF2-B725-8C7D0132A07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5" name="TextBox 1374">
          <a:extLst>
            <a:ext uri="{FF2B5EF4-FFF2-40B4-BE49-F238E27FC236}">
              <a16:creationId xmlns:a16="http://schemas.microsoft.com/office/drawing/2014/main" xmlns="" id="{774BC980-B1C2-4BC9-A745-AA922B264C9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6" name="TextBox 1375">
          <a:extLst>
            <a:ext uri="{FF2B5EF4-FFF2-40B4-BE49-F238E27FC236}">
              <a16:creationId xmlns:a16="http://schemas.microsoft.com/office/drawing/2014/main" xmlns="" id="{AFFE17BD-19FB-4E39-BAF6-F53FF6D6530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7" name="TextBox 1376">
          <a:extLst>
            <a:ext uri="{FF2B5EF4-FFF2-40B4-BE49-F238E27FC236}">
              <a16:creationId xmlns:a16="http://schemas.microsoft.com/office/drawing/2014/main" xmlns="" id="{EBE3ABFB-5EDF-4B5B-8BEF-6BB534B5072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8" name="TextBox 1377">
          <a:extLst>
            <a:ext uri="{FF2B5EF4-FFF2-40B4-BE49-F238E27FC236}">
              <a16:creationId xmlns:a16="http://schemas.microsoft.com/office/drawing/2014/main" xmlns="" id="{AE820838-AC16-412D-8102-41B66821937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79" name="TextBox 1378">
          <a:extLst>
            <a:ext uri="{FF2B5EF4-FFF2-40B4-BE49-F238E27FC236}">
              <a16:creationId xmlns:a16="http://schemas.microsoft.com/office/drawing/2014/main" xmlns="" id="{D2E09DED-98D5-40BD-A869-B9ECD8E6CCF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0" name="TextBox 1379">
          <a:extLst>
            <a:ext uri="{FF2B5EF4-FFF2-40B4-BE49-F238E27FC236}">
              <a16:creationId xmlns:a16="http://schemas.microsoft.com/office/drawing/2014/main" xmlns="" id="{D00737B1-9393-4CD6-B532-10801789ADC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1" name="TextBox 1380">
          <a:extLst>
            <a:ext uri="{FF2B5EF4-FFF2-40B4-BE49-F238E27FC236}">
              <a16:creationId xmlns:a16="http://schemas.microsoft.com/office/drawing/2014/main" xmlns="" id="{12B9BD26-AE08-4621-9596-6F49BD05F03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2" name="TextBox 1381">
          <a:extLst>
            <a:ext uri="{FF2B5EF4-FFF2-40B4-BE49-F238E27FC236}">
              <a16:creationId xmlns:a16="http://schemas.microsoft.com/office/drawing/2014/main" xmlns="" id="{8D2D8D94-098F-4DC4-AAD9-87677635CFB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3" name="TextBox 1382">
          <a:extLst>
            <a:ext uri="{FF2B5EF4-FFF2-40B4-BE49-F238E27FC236}">
              <a16:creationId xmlns:a16="http://schemas.microsoft.com/office/drawing/2014/main" xmlns="" id="{552B77D0-3349-4221-928F-4613EF2C07B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4" name="TextBox 1383">
          <a:extLst>
            <a:ext uri="{FF2B5EF4-FFF2-40B4-BE49-F238E27FC236}">
              <a16:creationId xmlns:a16="http://schemas.microsoft.com/office/drawing/2014/main" xmlns="" id="{50C77B2D-256A-4553-9BB3-C4B5BB06A0C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5" name="TextBox 1384">
          <a:extLst>
            <a:ext uri="{FF2B5EF4-FFF2-40B4-BE49-F238E27FC236}">
              <a16:creationId xmlns:a16="http://schemas.microsoft.com/office/drawing/2014/main" xmlns="" id="{14735DE2-0227-42FF-B95D-26FEB433CFD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6" name="TextBox 1385">
          <a:extLst>
            <a:ext uri="{FF2B5EF4-FFF2-40B4-BE49-F238E27FC236}">
              <a16:creationId xmlns:a16="http://schemas.microsoft.com/office/drawing/2014/main" xmlns="" id="{12182C75-604B-44CB-B847-0F5CAF7146C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7" name="TextBox 1386">
          <a:extLst>
            <a:ext uri="{FF2B5EF4-FFF2-40B4-BE49-F238E27FC236}">
              <a16:creationId xmlns:a16="http://schemas.microsoft.com/office/drawing/2014/main" xmlns="" id="{B7C1F467-E753-4044-BDB1-4B1E167CE91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8" name="TextBox 1387">
          <a:extLst>
            <a:ext uri="{FF2B5EF4-FFF2-40B4-BE49-F238E27FC236}">
              <a16:creationId xmlns:a16="http://schemas.microsoft.com/office/drawing/2014/main" xmlns="" id="{D47265FB-87D6-4A77-BA0A-8FB0AC88115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89" name="TextBox 1388">
          <a:extLst>
            <a:ext uri="{FF2B5EF4-FFF2-40B4-BE49-F238E27FC236}">
              <a16:creationId xmlns:a16="http://schemas.microsoft.com/office/drawing/2014/main" xmlns="" id="{64C4A4DD-DEA0-4ADE-B778-A89487DD125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0" name="TextBox 1389">
          <a:extLst>
            <a:ext uri="{FF2B5EF4-FFF2-40B4-BE49-F238E27FC236}">
              <a16:creationId xmlns:a16="http://schemas.microsoft.com/office/drawing/2014/main" xmlns="" id="{1870B6D2-F1B8-40FD-95FF-C3EE96CC067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1" name="TextBox 1390">
          <a:extLst>
            <a:ext uri="{FF2B5EF4-FFF2-40B4-BE49-F238E27FC236}">
              <a16:creationId xmlns:a16="http://schemas.microsoft.com/office/drawing/2014/main" xmlns="" id="{355F7EA9-EAFE-438A-836C-390358D72B9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2" name="TextBox 1391">
          <a:extLst>
            <a:ext uri="{FF2B5EF4-FFF2-40B4-BE49-F238E27FC236}">
              <a16:creationId xmlns:a16="http://schemas.microsoft.com/office/drawing/2014/main" xmlns="" id="{CF2ACF2A-1B6D-4CE3-A2AC-3EC02EF695C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3" name="TextBox 1392">
          <a:extLst>
            <a:ext uri="{FF2B5EF4-FFF2-40B4-BE49-F238E27FC236}">
              <a16:creationId xmlns:a16="http://schemas.microsoft.com/office/drawing/2014/main" xmlns="" id="{B990B598-CC2A-436C-B575-5A927EB2925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4" name="TextBox 1393">
          <a:extLst>
            <a:ext uri="{FF2B5EF4-FFF2-40B4-BE49-F238E27FC236}">
              <a16:creationId xmlns:a16="http://schemas.microsoft.com/office/drawing/2014/main" xmlns="" id="{ACC82B17-87A9-47A9-A5EE-508ECAB6042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5" name="TextBox 1394">
          <a:extLst>
            <a:ext uri="{FF2B5EF4-FFF2-40B4-BE49-F238E27FC236}">
              <a16:creationId xmlns:a16="http://schemas.microsoft.com/office/drawing/2014/main" xmlns="" id="{B89486B1-3C51-43A1-A933-4095D5656B6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6" name="TextBox 1395">
          <a:extLst>
            <a:ext uri="{FF2B5EF4-FFF2-40B4-BE49-F238E27FC236}">
              <a16:creationId xmlns:a16="http://schemas.microsoft.com/office/drawing/2014/main" xmlns="" id="{A8526641-C2C3-4DCE-9834-A09F29B62F2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7" name="TextBox 1396">
          <a:extLst>
            <a:ext uri="{FF2B5EF4-FFF2-40B4-BE49-F238E27FC236}">
              <a16:creationId xmlns:a16="http://schemas.microsoft.com/office/drawing/2014/main" xmlns="" id="{02CC0BE8-8013-427A-BAF9-FD1CE427C92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8" name="TextBox 1397">
          <a:extLst>
            <a:ext uri="{FF2B5EF4-FFF2-40B4-BE49-F238E27FC236}">
              <a16:creationId xmlns:a16="http://schemas.microsoft.com/office/drawing/2014/main" xmlns="" id="{234CF6AB-C5A9-4A5A-877B-429FDCD3706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399" name="TextBox 1398">
          <a:extLst>
            <a:ext uri="{FF2B5EF4-FFF2-40B4-BE49-F238E27FC236}">
              <a16:creationId xmlns:a16="http://schemas.microsoft.com/office/drawing/2014/main" xmlns="" id="{6FC3DBE6-2B13-4C72-910B-8CDE9110B5D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0" name="TextBox 1399">
          <a:extLst>
            <a:ext uri="{FF2B5EF4-FFF2-40B4-BE49-F238E27FC236}">
              <a16:creationId xmlns:a16="http://schemas.microsoft.com/office/drawing/2014/main" xmlns="" id="{F0F6D3BF-97FA-49D8-A104-7D425994D28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1" name="TextBox 1400">
          <a:extLst>
            <a:ext uri="{FF2B5EF4-FFF2-40B4-BE49-F238E27FC236}">
              <a16:creationId xmlns:a16="http://schemas.microsoft.com/office/drawing/2014/main" xmlns="" id="{B5AE5329-CABC-4838-9A29-E3447738A49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2" name="TextBox 1401">
          <a:extLst>
            <a:ext uri="{FF2B5EF4-FFF2-40B4-BE49-F238E27FC236}">
              <a16:creationId xmlns:a16="http://schemas.microsoft.com/office/drawing/2014/main" xmlns="" id="{E66DD9C7-912E-4EE2-B91A-7DD3A2D9E22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3" name="TextBox 1402">
          <a:extLst>
            <a:ext uri="{FF2B5EF4-FFF2-40B4-BE49-F238E27FC236}">
              <a16:creationId xmlns:a16="http://schemas.microsoft.com/office/drawing/2014/main" xmlns="" id="{4F3FB806-A4BF-4173-BBC1-2D6709D850E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4" name="TextBox 1403">
          <a:extLst>
            <a:ext uri="{FF2B5EF4-FFF2-40B4-BE49-F238E27FC236}">
              <a16:creationId xmlns:a16="http://schemas.microsoft.com/office/drawing/2014/main" xmlns="" id="{031976FA-7795-4BE4-B772-21B6F7D3E73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5" name="TextBox 1404">
          <a:extLst>
            <a:ext uri="{FF2B5EF4-FFF2-40B4-BE49-F238E27FC236}">
              <a16:creationId xmlns:a16="http://schemas.microsoft.com/office/drawing/2014/main" xmlns="" id="{E416820B-3292-4659-B0AC-AEF223BEEAB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6" name="TextBox 1405">
          <a:extLst>
            <a:ext uri="{FF2B5EF4-FFF2-40B4-BE49-F238E27FC236}">
              <a16:creationId xmlns:a16="http://schemas.microsoft.com/office/drawing/2014/main" xmlns="" id="{092110EA-BD51-4A59-B74A-4CC5929AD7E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7" name="TextBox 1406">
          <a:extLst>
            <a:ext uri="{FF2B5EF4-FFF2-40B4-BE49-F238E27FC236}">
              <a16:creationId xmlns:a16="http://schemas.microsoft.com/office/drawing/2014/main" xmlns="" id="{113EDCE9-D37A-499B-AC5F-9A458776AB7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8" name="TextBox 1407">
          <a:extLst>
            <a:ext uri="{FF2B5EF4-FFF2-40B4-BE49-F238E27FC236}">
              <a16:creationId xmlns:a16="http://schemas.microsoft.com/office/drawing/2014/main" xmlns="" id="{B613CD58-5926-4BD8-9E13-05A8BD5579B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09" name="TextBox 1408">
          <a:extLst>
            <a:ext uri="{FF2B5EF4-FFF2-40B4-BE49-F238E27FC236}">
              <a16:creationId xmlns:a16="http://schemas.microsoft.com/office/drawing/2014/main" xmlns="" id="{17A07939-E514-4D70-B5C5-89577EC4116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0" name="TextBox 1409">
          <a:extLst>
            <a:ext uri="{FF2B5EF4-FFF2-40B4-BE49-F238E27FC236}">
              <a16:creationId xmlns:a16="http://schemas.microsoft.com/office/drawing/2014/main" xmlns="" id="{92FFCED2-E56C-44CC-B2E2-C7881D0CDD4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1" name="TextBox 1410">
          <a:extLst>
            <a:ext uri="{FF2B5EF4-FFF2-40B4-BE49-F238E27FC236}">
              <a16:creationId xmlns:a16="http://schemas.microsoft.com/office/drawing/2014/main" xmlns="" id="{A26737A2-106B-4225-A59D-BAA4D7C28B9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2" name="TextBox 1411">
          <a:extLst>
            <a:ext uri="{FF2B5EF4-FFF2-40B4-BE49-F238E27FC236}">
              <a16:creationId xmlns:a16="http://schemas.microsoft.com/office/drawing/2014/main" xmlns="" id="{FF1B2CBA-F22B-4D81-AD95-EA98847E8ED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3" name="TextBox 1412">
          <a:extLst>
            <a:ext uri="{FF2B5EF4-FFF2-40B4-BE49-F238E27FC236}">
              <a16:creationId xmlns:a16="http://schemas.microsoft.com/office/drawing/2014/main" xmlns="" id="{0ABEF206-2021-405F-9FE6-A23E0636FDD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4" name="TextBox 1413">
          <a:extLst>
            <a:ext uri="{FF2B5EF4-FFF2-40B4-BE49-F238E27FC236}">
              <a16:creationId xmlns:a16="http://schemas.microsoft.com/office/drawing/2014/main" xmlns="" id="{3E391E05-54F8-484E-95E2-5269129875A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5" name="TextBox 1414">
          <a:extLst>
            <a:ext uri="{FF2B5EF4-FFF2-40B4-BE49-F238E27FC236}">
              <a16:creationId xmlns:a16="http://schemas.microsoft.com/office/drawing/2014/main" xmlns="" id="{208D3893-7792-4CAF-9856-7F1F5A7663D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6" name="TextBox 1415">
          <a:extLst>
            <a:ext uri="{FF2B5EF4-FFF2-40B4-BE49-F238E27FC236}">
              <a16:creationId xmlns:a16="http://schemas.microsoft.com/office/drawing/2014/main" xmlns="" id="{D520683B-CF8B-420A-AD9C-F5FE5C3CBD5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7" name="TextBox 1416">
          <a:extLst>
            <a:ext uri="{FF2B5EF4-FFF2-40B4-BE49-F238E27FC236}">
              <a16:creationId xmlns:a16="http://schemas.microsoft.com/office/drawing/2014/main" xmlns="" id="{A1F69A06-FE8D-4D36-BA6E-72F1CFBF5AE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8" name="TextBox 1417">
          <a:extLst>
            <a:ext uri="{FF2B5EF4-FFF2-40B4-BE49-F238E27FC236}">
              <a16:creationId xmlns:a16="http://schemas.microsoft.com/office/drawing/2014/main" xmlns="" id="{BBB5B9E9-0912-46DE-B4E4-18722CA21EE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19" name="TextBox 1418">
          <a:extLst>
            <a:ext uri="{FF2B5EF4-FFF2-40B4-BE49-F238E27FC236}">
              <a16:creationId xmlns:a16="http://schemas.microsoft.com/office/drawing/2014/main" xmlns="" id="{578AB1DA-F65E-40CA-871F-82ECE6943AE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0" name="TextBox 1419">
          <a:extLst>
            <a:ext uri="{FF2B5EF4-FFF2-40B4-BE49-F238E27FC236}">
              <a16:creationId xmlns:a16="http://schemas.microsoft.com/office/drawing/2014/main" xmlns="" id="{FCD71737-E91A-4B9A-BC9B-DD50B49A749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1" name="TextBox 1420">
          <a:extLst>
            <a:ext uri="{FF2B5EF4-FFF2-40B4-BE49-F238E27FC236}">
              <a16:creationId xmlns:a16="http://schemas.microsoft.com/office/drawing/2014/main" xmlns="" id="{CEEA798D-F10C-4278-977D-B2036710E0B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2" name="TextBox 1421">
          <a:extLst>
            <a:ext uri="{FF2B5EF4-FFF2-40B4-BE49-F238E27FC236}">
              <a16:creationId xmlns:a16="http://schemas.microsoft.com/office/drawing/2014/main" xmlns="" id="{E51B0701-5F06-47E4-8EC7-AB88D94149B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3" name="TextBox 1422">
          <a:extLst>
            <a:ext uri="{FF2B5EF4-FFF2-40B4-BE49-F238E27FC236}">
              <a16:creationId xmlns:a16="http://schemas.microsoft.com/office/drawing/2014/main" xmlns="" id="{ECAD2B2A-0D7A-4498-AAED-9C33D3DDCC9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4" name="TextBox 1423">
          <a:extLst>
            <a:ext uri="{FF2B5EF4-FFF2-40B4-BE49-F238E27FC236}">
              <a16:creationId xmlns:a16="http://schemas.microsoft.com/office/drawing/2014/main" xmlns="" id="{96C175B6-BAE0-4D91-977C-F4FF1A6E6E0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5" name="TextBox 1424">
          <a:extLst>
            <a:ext uri="{FF2B5EF4-FFF2-40B4-BE49-F238E27FC236}">
              <a16:creationId xmlns:a16="http://schemas.microsoft.com/office/drawing/2014/main" xmlns="" id="{80ACAF58-B023-4754-9FC3-D0831D77EF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6" name="TextBox 1425">
          <a:extLst>
            <a:ext uri="{FF2B5EF4-FFF2-40B4-BE49-F238E27FC236}">
              <a16:creationId xmlns:a16="http://schemas.microsoft.com/office/drawing/2014/main" xmlns="" id="{DE91F97B-BE29-4C60-9868-A38B0C7282A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7" name="TextBox 1426">
          <a:extLst>
            <a:ext uri="{FF2B5EF4-FFF2-40B4-BE49-F238E27FC236}">
              <a16:creationId xmlns:a16="http://schemas.microsoft.com/office/drawing/2014/main" xmlns="" id="{682B9C1B-A873-4D78-A039-E54E02AAD6A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8" name="TextBox 1427">
          <a:extLst>
            <a:ext uri="{FF2B5EF4-FFF2-40B4-BE49-F238E27FC236}">
              <a16:creationId xmlns:a16="http://schemas.microsoft.com/office/drawing/2014/main" xmlns="" id="{39B5CB48-FD6B-4571-914F-42A0F5B40CD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29" name="TextBox 1428">
          <a:extLst>
            <a:ext uri="{FF2B5EF4-FFF2-40B4-BE49-F238E27FC236}">
              <a16:creationId xmlns:a16="http://schemas.microsoft.com/office/drawing/2014/main" xmlns="" id="{2D2F2EAF-55B3-4DBF-923E-3D0C74B1776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0" name="TextBox 1429">
          <a:extLst>
            <a:ext uri="{FF2B5EF4-FFF2-40B4-BE49-F238E27FC236}">
              <a16:creationId xmlns:a16="http://schemas.microsoft.com/office/drawing/2014/main" xmlns="" id="{19E6F824-9EF9-455B-9B65-ED531FCB914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1" name="TextBox 1430">
          <a:extLst>
            <a:ext uri="{FF2B5EF4-FFF2-40B4-BE49-F238E27FC236}">
              <a16:creationId xmlns:a16="http://schemas.microsoft.com/office/drawing/2014/main" xmlns="" id="{88B84B96-D15A-4599-B6BC-C23C33D77B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2" name="TextBox 1431">
          <a:extLst>
            <a:ext uri="{FF2B5EF4-FFF2-40B4-BE49-F238E27FC236}">
              <a16:creationId xmlns:a16="http://schemas.microsoft.com/office/drawing/2014/main" xmlns="" id="{29F8B1B2-3589-4548-A839-D4988D0984E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3" name="TextBox 1432">
          <a:extLst>
            <a:ext uri="{FF2B5EF4-FFF2-40B4-BE49-F238E27FC236}">
              <a16:creationId xmlns:a16="http://schemas.microsoft.com/office/drawing/2014/main" xmlns="" id="{70061CA7-512B-4B4B-9BD1-549B69EE5EE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4" name="TextBox 1433">
          <a:extLst>
            <a:ext uri="{FF2B5EF4-FFF2-40B4-BE49-F238E27FC236}">
              <a16:creationId xmlns:a16="http://schemas.microsoft.com/office/drawing/2014/main" xmlns="" id="{26B7243E-A9DB-4D38-85B3-CAC822E554F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5" name="TextBox 1434">
          <a:extLst>
            <a:ext uri="{FF2B5EF4-FFF2-40B4-BE49-F238E27FC236}">
              <a16:creationId xmlns:a16="http://schemas.microsoft.com/office/drawing/2014/main" xmlns="" id="{8E71C7D4-D43F-4DEC-90DF-F7B387A3E02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6" name="TextBox 1435">
          <a:extLst>
            <a:ext uri="{FF2B5EF4-FFF2-40B4-BE49-F238E27FC236}">
              <a16:creationId xmlns:a16="http://schemas.microsoft.com/office/drawing/2014/main" xmlns="" id="{CABCF59F-B911-47F5-A625-16EF66BF7D6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7" name="TextBox 1436">
          <a:extLst>
            <a:ext uri="{FF2B5EF4-FFF2-40B4-BE49-F238E27FC236}">
              <a16:creationId xmlns:a16="http://schemas.microsoft.com/office/drawing/2014/main" xmlns="" id="{0992A77F-D83C-41C2-A456-98999A17EB9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8" name="TextBox 1437">
          <a:extLst>
            <a:ext uri="{FF2B5EF4-FFF2-40B4-BE49-F238E27FC236}">
              <a16:creationId xmlns:a16="http://schemas.microsoft.com/office/drawing/2014/main" xmlns="" id="{199DC3FF-AF29-46EE-810F-BDBFB9DA9A8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39" name="TextBox 1438">
          <a:extLst>
            <a:ext uri="{FF2B5EF4-FFF2-40B4-BE49-F238E27FC236}">
              <a16:creationId xmlns:a16="http://schemas.microsoft.com/office/drawing/2014/main" xmlns="" id="{1A373558-9CAB-4C66-8E0D-85B5C4B2266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0" name="TextBox 1439">
          <a:extLst>
            <a:ext uri="{FF2B5EF4-FFF2-40B4-BE49-F238E27FC236}">
              <a16:creationId xmlns:a16="http://schemas.microsoft.com/office/drawing/2014/main" xmlns="" id="{DFB8ABE3-2AB0-4037-B116-2BCFB249DD5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1" name="TextBox 1440">
          <a:extLst>
            <a:ext uri="{FF2B5EF4-FFF2-40B4-BE49-F238E27FC236}">
              <a16:creationId xmlns:a16="http://schemas.microsoft.com/office/drawing/2014/main" xmlns="" id="{50DC75CB-F03E-430A-B6C7-DA1CD41DBCB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2" name="TextBox 1441">
          <a:extLst>
            <a:ext uri="{FF2B5EF4-FFF2-40B4-BE49-F238E27FC236}">
              <a16:creationId xmlns:a16="http://schemas.microsoft.com/office/drawing/2014/main" xmlns="" id="{F0235CEA-8984-4C6C-B501-7264DA50B0A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3" name="TextBox 1442">
          <a:extLst>
            <a:ext uri="{FF2B5EF4-FFF2-40B4-BE49-F238E27FC236}">
              <a16:creationId xmlns:a16="http://schemas.microsoft.com/office/drawing/2014/main" xmlns="" id="{15737087-2822-4B37-BD60-190FAE5E63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4" name="TextBox 1443">
          <a:extLst>
            <a:ext uri="{FF2B5EF4-FFF2-40B4-BE49-F238E27FC236}">
              <a16:creationId xmlns:a16="http://schemas.microsoft.com/office/drawing/2014/main" xmlns="" id="{1D3E9FFA-D2A9-40E0-AD48-2BDDD58D432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5" name="TextBox 1444">
          <a:extLst>
            <a:ext uri="{FF2B5EF4-FFF2-40B4-BE49-F238E27FC236}">
              <a16:creationId xmlns:a16="http://schemas.microsoft.com/office/drawing/2014/main" xmlns="" id="{653E9355-F8A3-4A8D-9A9B-57F8FE1BBC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6" name="TextBox 1445">
          <a:extLst>
            <a:ext uri="{FF2B5EF4-FFF2-40B4-BE49-F238E27FC236}">
              <a16:creationId xmlns:a16="http://schemas.microsoft.com/office/drawing/2014/main" xmlns="" id="{11361DB3-F030-4514-8C99-7D631338CC2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7" name="TextBox 1446">
          <a:extLst>
            <a:ext uri="{FF2B5EF4-FFF2-40B4-BE49-F238E27FC236}">
              <a16:creationId xmlns:a16="http://schemas.microsoft.com/office/drawing/2014/main" xmlns="" id="{5FEE84DD-41B0-45A7-89B3-FD40C98CB08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8" name="TextBox 1447">
          <a:extLst>
            <a:ext uri="{FF2B5EF4-FFF2-40B4-BE49-F238E27FC236}">
              <a16:creationId xmlns:a16="http://schemas.microsoft.com/office/drawing/2014/main" xmlns="" id="{99F87B64-3CA5-4C94-83E5-82B97A04A35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49" name="TextBox 1448">
          <a:extLst>
            <a:ext uri="{FF2B5EF4-FFF2-40B4-BE49-F238E27FC236}">
              <a16:creationId xmlns:a16="http://schemas.microsoft.com/office/drawing/2014/main" xmlns="" id="{F118CE9C-AFBB-4BA4-A55E-3DE23AE1559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0" name="TextBox 1449">
          <a:extLst>
            <a:ext uri="{FF2B5EF4-FFF2-40B4-BE49-F238E27FC236}">
              <a16:creationId xmlns:a16="http://schemas.microsoft.com/office/drawing/2014/main" xmlns="" id="{B17B21BC-2164-460E-A878-1E9A2F26A4C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1" name="TextBox 1450">
          <a:extLst>
            <a:ext uri="{FF2B5EF4-FFF2-40B4-BE49-F238E27FC236}">
              <a16:creationId xmlns:a16="http://schemas.microsoft.com/office/drawing/2014/main" xmlns="" id="{409F9F91-F82B-4267-85E3-7690C561BCF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2" name="TextBox 1451">
          <a:extLst>
            <a:ext uri="{FF2B5EF4-FFF2-40B4-BE49-F238E27FC236}">
              <a16:creationId xmlns:a16="http://schemas.microsoft.com/office/drawing/2014/main" xmlns="" id="{6A4B3E60-86EE-4EEB-8114-CCA96D9ABF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3" name="TextBox 1452">
          <a:extLst>
            <a:ext uri="{FF2B5EF4-FFF2-40B4-BE49-F238E27FC236}">
              <a16:creationId xmlns:a16="http://schemas.microsoft.com/office/drawing/2014/main" xmlns="" id="{EC122BB8-1493-4F1D-BF4A-30648388E15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4" name="TextBox 1453">
          <a:extLst>
            <a:ext uri="{FF2B5EF4-FFF2-40B4-BE49-F238E27FC236}">
              <a16:creationId xmlns:a16="http://schemas.microsoft.com/office/drawing/2014/main" xmlns="" id="{DE4608F4-7036-4494-A2E0-072ADA604C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5" name="TextBox 1454">
          <a:extLst>
            <a:ext uri="{FF2B5EF4-FFF2-40B4-BE49-F238E27FC236}">
              <a16:creationId xmlns:a16="http://schemas.microsoft.com/office/drawing/2014/main" xmlns="" id="{1A897587-3F2A-4914-87DC-8818E35AB16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6" name="TextBox 1455">
          <a:extLst>
            <a:ext uri="{FF2B5EF4-FFF2-40B4-BE49-F238E27FC236}">
              <a16:creationId xmlns:a16="http://schemas.microsoft.com/office/drawing/2014/main" xmlns="" id="{38096571-6C17-4413-B289-CC71C64AA1F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7" name="TextBox 1456">
          <a:extLst>
            <a:ext uri="{FF2B5EF4-FFF2-40B4-BE49-F238E27FC236}">
              <a16:creationId xmlns:a16="http://schemas.microsoft.com/office/drawing/2014/main" xmlns="" id="{B5BD7F5A-F7D4-46C7-9420-D3D57B514F5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8" name="TextBox 1457">
          <a:extLst>
            <a:ext uri="{FF2B5EF4-FFF2-40B4-BE49-F238E27FC236}">
              <a16:creationId xmlns:a16="http://schemas.microsoft.com/office/drawing/2014/main" xmlns="" id="{C4E8B2B6-C6DD-4E09-8296-573EA6C035F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59" name="TextBox 1458">
          <a:extLst>
            <a:ext uri="{FF2B5EF4-FFF2-40B4-BE49-F238E27FC236}">
              <a16:creationId xmlns:a16="http://schemas.microsoft.com/office/drawing/2014/main" xmlns="" id="{CCAF3B54-916E-4F8F-81FE-D959521B1A5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0" name="TextBox 1459">
          <a:extLst>
            <a:ext uri="{FF2B5EF4-FFF2-40B4-BE49-F238E27FC236}">
              <a16:creationId xmlns:a16="http://schemas.microsoft.com/office/drawing/2014/main" xmlns="" id="{E35AFD68-2BAF-4323-8C1E-98EFE98A7C4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1" name="TextBox 1460">
          <a:extLst>
            <a:ext uri="{FF2B5EF4-FFF2-40B4-BE49-F238E27FC236}">
              <a16:creationId xmlns:a16="http://schemas.microsoft.com/office/drawing/2014/main" xmlns="" id="{35F2DF66-97A1-46E7-8031-B1198EC4133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2" name="TextBox 1461">
          <a:extLst>
            <a:ext uri="{FF2B5EF4-FFF2-40B4-BE49-F238E27FC236}">
              <a16:creationId xmlns:a16="http://schemas.microsoft.com/office/drawing/2014/main" xmlns="" id="{0C27AEEF-8DD2-4F68-84AD-EA9B9748E82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3" name="TextBox 1462">
          <a:extLst>
            <a:ext uri="{FF2B5EF4-FFF2-40B4-BE49-F238E27FC236}">
              <a16:creationId xmlns:a16="http://schemas.microsoft.com/office/drawing/2014/main" xmlns="" id="{7916423B-BED9-4FB2-BD20-EABEA85D482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4" name="TextBox 1463">
          <a:extLst>
            <a:ext uri="{FF2B5EF4-FFF2-40B4-BE49-F238E27FC236}">
              <a16:creationId xmlns:a16="http://schemas.microsoft.com/office/drawing/2014/main" xmlns="" id="{C05EFBBB-7410-41E0-90C3-38C890DCCA8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5" name="TextBox 1464">
          <a:extLst>
            <a:ext uri="{FF2B5EF4-FFF2-40B4-BE49-F238E27FC236}">
              <a16:creationId xmlns:a16="http://schemas.microsoft.com/office/drawing/2014/main" xmlns="" id="{B055F5C7-9623-49C9-B161-9E4F3D11228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6" name="TextBox 1465">
          <a:extLst>
            <a:ext uri="{FF2B5EF4-FFF2-40B4-BE49-F238E27FC236}">
              <a16:creationId xmlns:a16="http://schemas.microsoft.com/office/drawing/2014/main" xmlns="" id="{34B98490-C884-4854-9261-F1D61A5534F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7" name="TextBox 1466">
          <a:extLst>
            <a:ext uri="{FF2B5EF4-FFF2-40B4-BE49-F238E27FC236}">
              <a16:creationId xmlns:a16="http://schemas.microsoft.com/office/drawing/2014/main" xmlns="" id="{BE7A9EA1-15FD-4D6C-9502-01FAE44311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8" name="TextBox 1467">
          <a:extLst>
            <a:ext uri="{FF2B5EF4-FFF2-40B4-BE49-F238E27FC236}">
              <a16:creationId xmlns:a16="http://schemas.microsoft.com/office/drawing/2014/main" xmlns="" id="{ED310E80-093D-449C-A664-FC33625123B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69" name="TextBox 1468">
          <a:extLst>
            <a:ext uri="{FF2B5EF4-FFF2-40B4-BE49-F238E27FC236}">
              <a16:creationId xmlns:a16="http://schemas.microsoft.com/office/drawing/2014/main" xmlns="" id="{2E2BE7C2-42AB-4D50-892D-20B907AA1DB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0" name="TextBox 1469">
          <a:extLst>
            <a:ext uri="{FF2B5EF4-FFF2-40B4-BE49-F238E27FC236}">
              <a16:creationId xmlns:a16="http://schemas.microsoft.com/office/drawing/2014/main" xmlns="" id="{F0BCDF8D-8CBD-47BE-A0C0-5204ED66966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1" name="TextBox 1470">
          <a:extLst>
            <a:ext uri="{FF2B5EF4-FFF2-40B4-BE49-F238E27FC236}">
              <a16:creationId xmlns:a16="http://schemas.microsoft.com/office/drawing/2014/main" xmlns="" id="{9751363E-C839-4CE7-A713-5682F9AFAF7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2" name="TextBox 1471">
          <a:extLst>
            <a:ext uri="{FF2B5EF4-FFF2-40B4-BE49-F238E27FC236}">
              <a16:creationId xmlns:a16="http://schemas.microsoft.com/office/drawing/2014/main" xmlns="" id="{39BC5C60-EF0F-467C-9598-37509540866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3" name="TextBox 1472">
          <a:extLst>
            <a:ext uri="{FF2B5EF4-FFF2-40B4-BE49-F238E27FC236}">
              <a16:creationId xmlns:a16="http://schemas.microsoft.com/office/drawing/2014/main" xmlns="" id="{BFBDBB2D-7E1B-4B12-8E71-D50FA5D088D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4" name="TextBox 1473">
          <a:extLst>
            <a:ext uri="{FF2B5EF4-FFF2-40B4-BE49-F238E27FC236}">
              <a16:creationId xmlns:a16="http://schemas.microsoft.com/office/drawing/2014/main" xmlns="" id="{756543DE-47E8-4F24-B8E0-C8D1634E300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5" name="TextBox 1474">
          <a:extLst>
            <a:ext uri="{FF2B5EF4-FFF2-40B4-BE49-F238E27FC236}">
              <a16:creationId xmlns:a16="http://schemas.microsoft.com/office/drawing/2014/main" xmlns="" id="{AA86CEAA-AEE6-48C5-A5CB-B0F850959EB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6" name="TextBox 1475">
          <a:extLst>
            <a:ext uri="{FF2B5EF4-FFF2-40B4-BE49-F238E27FC236}">
              <a16:creationId xmlns:a16="http://schemas.microsoft.com/office/drawing/2014/main" xmlns="" id="{83BCE540-B2B5-4747-B41F-5AAACEAC1A4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7" name="TextBox 1476">
          <a:extLst>
            <a:ext uri="{FF2B5EF4-FFF2-40B4-BE49-F238E27FC236}">
              <a16:creationId xmlns:a16="http://schemas.microsoft.com/office/drawing/2014/main" xmlns="" id="{B11E8FE8-E8E0-4815-81F7-BF31B381006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8" name="TextBox 1477">
          <a:extLst>
            <a:ext uri="{FF2B5EF4-FFF2-40B4-BE49-F238E27FC236}">
              <a16:creationId xmlns:a16="http://schemas.microsoft.com/office/drawing/2014/main" xmlns="" id="{28102883-D329-4436-B1F9-4451A0C2ABA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79" name="TextBox 1478">
          <a:extLst>
            <a:ext uri="{FF2B5EF4-FFF2-40B4-BE49-F238E27FC236}">
              <a16:creationId xmlns:a16="http://schemas.microsoft.com/office/drawing/2014/main" xmlns="" id="{9F3B8C4E-EE02-46E0-B319-3EA23E2F168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0" name="TextBox 1479">
          <a:extLst>
            <a:ext uri="{FF2B5EF4-FFF2-40B4-BE49-F238E27FC236}">
              <a16:creationId xmlns:a16="http://schemas.microsoft.com/office/drawing/2014/main" xmlns="" id="{A74EC476-BFF5-4FBE-B707-9F941DB6F9B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1" name="TextBox 1480">
          <a:extLst>
            <a:ext uri="{FF2B5EF4-FFF2-40B4-BE49-F238E27FC236}">
              <a16:creationId xmlns:a16="http://schemas.microsoft.com/office/drawing/2014/main" xmlns="" id="{DCEA76D4-317D-417C-83F7-469437DA790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2" name="TextBox 1481">
          <a:extLst>
            <a:ext uri="{FF2B5EF4-FFF2-40B4-BE49-F238E27FC236}">
              <a16:creationId xmlns:a16="http://schemas.microsoft.com/office/drawing/2014/main" xmlns="" id="{71ADE6BC-0B0F-4A02-8D6A-5DA4A3E85EF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3" name="TextBox 1482">
          <a:extLst>
            <a:ext uri="{FF2B5EF4-FFF2-40B4-BE49-F238E27FC236}">
              <a16:creationId xmlns:a16="http://schemas.microsoft.com/office/drawing/2014/main" xmlns="" id="{E45F8E17-8A6F-4ADA-908A-5B4EBCA1E31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4" name="TextBox 1483">
          <a:extLst>
            <a:ext uri="{FF2B5EF4-FFF2-40B4-BE49-F238E27FC236}">
              <a16:creationId xmlns:a16="http://schemas.microsoft.com/office/drawing/2014/main" xmlns="" id="{CDA38C52-F40A-4906-A2E0-6473C26957C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5" name="TextBox 1484">
          <a:extLst>
            <a:ext uri="{FF2B5EF4-FFF2-40B4-BE49-F238E27FC236}">
              <a16:creationId xmlns:a16="http://schemas.microsoft.com/office/drawing/2014/main" xmlns="" id="{60519112-0A1A-4DA6-9477-ACBD5A2E41A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6" name="TextBox 1485">
          <a:extLst>
            <a:ext uri="{FF2B5EF4-FFF2-40B4-BE49-F238E27FC236}">
              <a16:creationId xmlns:a16="http://schemas.microsoft.com/office/drawing/2014/main" xmlns="" id="{0141F89B-068C-411C-BA8E-FD52025EDE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7" name="TextBox 1486">
          <a:extLst>
            <a:ext uri="{FF2B5EF4-FFF2-40B4-BE49-F238E27FC236}">
              <a16:creationId xmlns:a16="http://schemas.microsoft.com/office/drawing/2014/main" xmlns="" id="{5CE858A3-6F17-4D2B-BBA3-5AB20A4D22D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8" name="TextBox 1487">
          <a:extLst>
            <a:ext uri="{FF2B5EF4-FFF2-40B4-BE49-F238E27FC236}">
              <a16:creationId xmlns:a16="http://schemas.microsoft.com/office/drawing/2014/main" xmlns="" id="{F3AC1E61-D70B-4C85-909C-9C3F1B556FC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89" name="TextBox 1488">
          <a:extLst>
            <a:ext uri="{FF2B5EF4-FFF2-40B4-BE49-F238E27FC236}">
              <a16:creationId xmlns:a16="http://schemas.microsoft.com/office/drawing/2014/main" xmlns="" id="{ED652E17-1CD8-4A03-A8CC-54C36686535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0" name="TextBox 1489">
          <a:extLst>
            <a:ext uri="{FF2B5EF4-FFF2-40B4-BE49-F238E27FC236}">
              <a16:creationId xmlns:a16="http://schemas.microsoft.com/office/drawing/2014/main" xmlns="" id="{B787B950-BA8F-471C-883B-ECFC96CBC35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1" name="TextBox 1490">
          <a:extLst>
            <a:ext uri="{FF2B5EF4-FFF2-40B4-BE49-F238E27FC236}">
              <a16:creationId xmlns:a16="http://schemas.microsoft.com/office/drawing/2014/main" xmlns="" id="{DBC12463-54E5-49B7-AA4A-8CC280AAC9B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2" name="TextBox 1491">
          <a:extLst>
            <a:ext uri="{FF2B5EF4-FFF2-40B4-BE49-F238E27FC236}">
              <a16:creationId xmlns:a16="http://schemas.microsoft.com/office/drawing/2014/main" xmlns="" id="{2EE4608C-0129-4074-A827-A5218A10990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3" name="TextBox 1492">
          <a:extLst>
            <a:ext uri="{FF2B5EF4-FFF2-40B4-BE49-F238E27FC236}">
              <a16:creationId xmlns:a16="http://schemas.microsoft.com/office/drawing/2014/main" xmlns="" id="{4861C123-BC47-4092-9B3D-33917FD7A2B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4" name="TextBox 1493">
          <a:extLst>
            <a:ext uri="{FF2B5EF4-FFF2-40B4-BE49-F238E27FC236}">
              <a16:creationId xmlns:a16="http://schemas.microsoft.com/office/drawing/2014/main" xmlns="" id="{D7A7C4A3-FD5A-4A24-B808-D60D2603FB7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5" name="TextBox 1494">
          <a:extLst>
            <a:ext uri="{FF2B5EF4-FFF2-40B4-BE49-F238E27FC236}">
              <a16:creationId xmlns:a16="http://schemas.microsoft.com/office/drawing/2014/main" xmlns="" id="{9C98B555-A04D-4AF8-BE3B-625D900E512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6" name="TextBox 1495">
          <a:extLst>
            <a:ext uri="{FF2B5EF4-FFF2-40B4-BE49-F238E27FC236}">
              <a16:creationId xmlns:a16="http://schemas.microsoft.com/office/drawing/2014/main" xmlns="" id="{1AE1DAF5-5088-4267-BB89-B8D54D1C367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7" name="TextBox 1496">
          <a:extLst>
            <a:ext uri="{FF2B5EF4-FFF2-40B4-BE49-F238E27FC236}">
              <a16:creationId xmlns:a16="http://schemas.microsoft.com/office/drawing/2014/main" xmlns="" id="{CB9764AF-7970-4B3C-8C83-CC16AA9C138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8" name="TextBox 1497">
          <a:extLst>
            <a:ext uri="{FF2B5EF4-FFF2-40B4-BE49-F238E27FC236}">
              <a16:creationId xmlns:a16="http://schemas.microsoft.com/office/drawing/2014/main" xmlns="" id="{36021F8E-7AA7-4CFC-88E3-7042ACEF065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499" name="TextBox 1498">
          <a:extLst>
            <a:ext uri="{FF2B5EF4-FFF2-40B4-BE49-F238E27FC236}">
              <a16:creationId xmlns:a16="http://schemas.microsoft.com/office/drawing/2014/main" xmlns="" id="{0ECBAD66-DF42-4373-9553-598D4B6C2BD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0" name="TextBox 1499">
          <a:extLst>
            <a:ext uri="{FF2B5EF4-FFF2-40B4-BE49-F238E27FC236}">
              <a16:creationId xmlns:a16="http://schemas.microsoft.com/office/drawing/2014/main" xmlns="" id="{3F8263EC-692D-4141-A3A8-B0D01C74B0B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1" name="TextBox 1500">
          <a:extLst>
            <a:ext uri="{FF2B5EF4-FFF2-40B4-BE49-F238E27FC236}">
              <a16:creationId xmlns:a16="http://schemas.microsoft.com/office/drawing/2014/main" xmlns="" id="{5E93E5B2-2293-4C53-A8EB-3BFB1187660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2" name="TextBox 1501">
          <a:extLst>
            <a:ext uri="{FF2B5EF4-FFF2-40B4-BE49-F238E27FC236}">
              <a16:creationId xmlns:a16="http://schemas.microsoft.com/office/drawing/2014/main" xmlns="" id="{8F7FD929-3D10-4927-B11B-B6FF80F7793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3" name="TextBox 1502">
          <a:extLst>
            <a:ext uri="{FF2B5EF4-FFF2-40B4-BE49-F238E27FC236}">
              <a16:creationId xmlns:a16="http://schemas.microsoft.com/office/drawing/2014/main" xmlns="" id="{D6D071C5-D548-4E18-A58F-6177926E0AD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4" name="TextBox 1503">
          <a:extLst>
            <a:ext uri="{FF2B5EF4-FFF2-40B4-BE49-F238E27FC236}">
              <a16:creationId xmlns:a16="http://schemas.microsoft.com/office/drawing/2014/main" xmlns="" id="{C6840DE6-5000-49CD-9FAC-6258B62F743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5" name="TextBox 1504">
          <a:extLst>
            <a:ext uri="{FF2B5EF4-FFF2-40B4-BE49-F238E27FC236}">
              <a16:creationId xmlns:a16="http://schemas.microsoft.com/office/drawing/2014/main" xmlns="" id="{4EF635D6-7FC8-4FF7-BEDD-CF15965BF6D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6" name="TextBox 1505">
          <a:extLst>
            <a:ext uri="{FF2B5EF4-FFF2-40B4-BE49-F238E27FC236}">
              <a16:creationId xmlns:a16="http://schemas.microsoft.com/office/drawing/2014/main" xmlns="" id="{6F4228A1-9DCC-48EA-B225-E731C52C567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7" name="TextBox 1506">
          <a:extLst>
            <a:ext uri="{FF2B5EF4-FFF2-40B4-BE49-F238E27FC236}">
              <a16:creationId xmlns:a16="http://schemas.microsoft.com/office/drawing/2014/main" xmlns="" id="{8E36C75A-2229-4518-8AC5-F31BE1592CC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8" name="TextBox 1507">
          <a:extLst>
            <a:ext uri="{FF2B5EF4-FFF2-40B4-BE49-F238E27FC236}">
              <a16:creationId xmlns:a16="http://schemas.microsoft.com/office/drawing/2014/main" xmlns="" id="{66B880CB-E864-4F4D-9B45-10C64ACE234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09" name="TextBox 1508">
          <a:extLst>
            <a:ext uri="{FF2B5EF4-FFF2-40B4-BE49-F238E27FC236}">
              <a16:creationId xmlns:a16="http://schemas.microsoft.com/office/drawing/2014/main" xmlns="" id="{98C1EEB3-F291-4315-87AB-18895168B41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0" name="TextBox 1509">
          <a:extLst>
            <a:ext uri="{FF2B5EF4-FFF2-40B4-BE49-F238E27FC236}">
              <a16:creationId xmlns:a16="http://schemas.microsoft.com/office/drawing/2014/main" xmlns="" id="{3B4FFBA1-F4BA-4C74-BF0C-CB4E0447332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1" name="TextBox 1510">
          <a:extLst>
            <a:ext uri="{FF2B5EF4-FFF2-40B4-BE49-F238E27FC236}">
              <a16:creationId xmlns:a16="http://schemas.microsoft.com/office/drawing/2014/main" xmlns="" id="{1F2B4EFD-6E01-45E0-A2A1-738E1EA9384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2" name="TextBox 1511">
          <a:extLst>
            <a:ext uri="{FF2B5EF4-FFF2-40B4-BE49-F238E27FC236}">
              <a16:creationId xmlns:a16="http://schemas.microsoft.com/office/drawing/2014/main" xmlns="" id="{047C5CC7-955E-4A42-9158-80FC2750DEE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3" name="TextBox 1512">
          <a:extLst>
            <a:ext uri="{FF2B5EF4-FFF2-40B4-BE49-F238E27FC236}">
              <a16:creationId xmlns:a16="http://schemas.microsoft.com/office/drawing/2014/main" xmlns="" id="{494E1571-5534-4F00-AB71-80376259934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4" name="TextBox 1513">
          <a:extLst>
            <a:ext uri="{FF2B5EF4-FFF2-40B4-BE49-F238E27FC236}">
              <a16:creationId xmlns:a16="http://schemas.microsoft.com/office/drawing/2014/main" xmlns="" id="{8907B7A0-4A6A-4CFC-822E-3714BEAA8B5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5" name="TextBox 1514">
          <a:extLst>
            <a:ext uri="{FF2B5EF4-FFF2-40B4-BE49-F238E27FC236}">
              <a16:creationId xmlns:a16="http://schemas.microsoft.com/office/drawing/2014/main" xmlns="" id="{050892AE-EAC1-4844-ACB3-FEE62D6B935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6" name="TextBox 1515">
          <a:extLst>
            <a:ext uri="{FF2B5EF4-FFF2-40B4-BE49-F238E27FC236}">
              <a16:creationId xmlns:a16="http://schemas.microsoft.com/office/drawing/2014/main" xmlns="" id="{6E81D9E0-AF52-41C3-AE3A-1024D92D10A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7" name="TextBox 1516">
          <a:extLst>
            <a:ext uri="{FF2B5EF4-FFF2-40B4-BE49-F238E27FC236}">
              <a16:creationId xmlns:a16="http://schemas.microsoft.com/office/drawing/2014/main" xmlns="" id="{548A8AAB-609F-4F07-9682-6080A47E997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8" name="TextBox 1517">
          <a:extLst>
            <a:ext uri="{FF2B5EF4-FFF2-40B4-BE49-F238E27FC236}">
              <a16:creationId xmlns:a16="http://schemas.microsoft.com/office/drawing/2014/main" xmlns="" id="{2392E915-F2F4-4412-9F01-4F31592B96C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19" name="TextBox 1518">
          <a:extLst>
            <a:ext uri="{FF2B5EF4-FFF2-40B4-BE49-F238E27FC236}">
              <a16:creationId xmlns:a16="http://schemas.microsoft.com/office/drawing/2014/main" xmlns="" id="{8F90A7AB-2A79-4832-8608-D07C22C230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0" name="TextBox 1519">
          <a:extLst>
            <a:ext uri="{FF2B5EF4-FFF2-40B4-BE49-F238E27FC236}">
              <a16:creationId xmlns:a16="http://schemas.microsoft.com/office/drawing/2014/main" xmlns="" id="{375F304C-9CBA-4277-A8B5-C0957626383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1" name="TextBox 1520">
          <a:extLst>
            <a:ext uri="{FF2B5EF4-FFF2-40B4-BE49-F238E27FC236}">
              <a16:creationId xmlns:a16="http://schemas.microsoft.com/office/drawing/2014/main" xmlns="" id="{2ACE97A3-69AB-40F9-AA19-C1210EE884B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2" name="TextBox 1521">
          <a:extLst>
            <a:ext uri="{FF2B5EF4-FFF2-40B4-BE49-F238E27FC236}">
              <a16:creationId xmlns:a16="http://schemas.microsoft.com/office/drawing/2014/main" xmlns="" id="{50D19218-14ED-4ABA-BF6A-6017FFDACD0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3" name="TextBox 1522">
          <a:extLst>
            <a:ext uri="{FF2B5EF4-FFF2-40B4-BE49-F238E27FC236}">
              <a16:creationId xmlns:a16="http://schemas.microsoft.com/office/drawing/2014/main" xmlns="" id="{39955362-012F-4176-A3CF-6C328BF3C92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4" name="TextBox 1523">
          <a:extLst>
            <a:ext uri="{FF2B5EF4-FFF2-40B4-BE49-F238E27FC236}">
              <a16:creationId xmlns:a16="http://schemas.microsoft.com/office/drawing/2014/main" xmlns="" id="{91D1709F-C7D5-49A4-AE5E-529B2F6539C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5" name="TextBox 1524">
          <a:extLst>
            <a:ext uri="{FF2B5EF4-FFF2-40B4-BE49-F238E27FC236}">
              <a16:creationId xmlns:a16="http://schemas.microsoft.com/office/drawing/2014/main" xmlns="" id="{1CD0D79E-1512-4A42-9199-170B59F08C8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6" name="TextBox 1525">
          <a:extLst>
            <a:ext uri="{FF2B5EF4-FFF2-40B4-BE49-F238E27FC236}">
              <a16:creationId xmlns:a16="http://schemas.microsoft.com/office/drawing/2014/main" xmlns="" id="{E50EA39F-B7CC-4FE4-8593-EF0DA369C8F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7" name="TextBox 1526">
          <a:extLst>
            <a:ext uri="{FF2B5EF4-FFF2-40B4-BE49-F238E27FC236}">
              <a16:creationId xmlns:a16="http://schemas.microsoft.com/office/drawing/2014/main" xmlns="" id="{F021547B-E4A9-4394-9D38-4CD2226536B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8" name="TextBox 1527">
          <a:extLst>
            <a:ext uri="{FF2B5EF4-FFF2-40B4-BE49-F238E27FC236}">
              <a16:creationId xmlns:a16="http://schemas.microsoft.com/office/drawing/2014/main" xmlns="" id="{46FD45DF-C952-48DC-AF8E-BC90CB8D07F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29" name="TextBox 1528">
          <a:extLst>
            <a:ext uri="{FF2B5EF4-FFF2-40B4-BE49-F238E27FC236}">
              <a16:creationId xmlns:a16="http://schemas.microsoft.com/office/drawing/2014/main" xmlns="" id="{6CA68DC4-AFA7-40F6-8111-F74D63790EA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0" name="TextBox 1529">
          <a:extLst>
            <a:ext uri="{FF2B5EF4-FFF2-40B4-BE49-F238E27FC236}">
              <a16:creationId xmlns:a16="http://schemas.microsoft.com/office/drawing/2014/main" xmlns="" id="{D6FCD8BB-F3D0-489D-83CA-DBF87C2567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1" name="TextBox 1530">
          <a:extLst>
            <a:ext uri="{FF2B5EF4-FFF2-40B4-BE49-F238E27FC236}">
              <a16:creationId xmlns:a16="http://schemas.microsoft.com/office/drawing/2014/main" xmlns="" id="{BC697A80-666C-4BE8-90C0-6FD945F4902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2" name="TextBox 1531">
          <a:extLst>
            <a:ext uri="{FF2B5EF4-FFF2-40B4-BE49-F238E27FC236}">
              <a16:creationId xmlns:a16="http://schemas.microsoft.com/office/drawing/2014/main" xmlns="" id="{DAC6A8AC-2BB6-4149-B171-0212185D32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3" name="TextBox 1532">
          <a:extLst>
            <a:ext uri="{FF2B5EF4-FFF2-40B4-BE49-F238E27FC236}">
              <a16:creationId xmlns:a16="http://schemas.microsoft.com/office/drawing/2014/main" xmlns="" id="{CEF2E9B5-0628-41AA-86C7-842B0D079E7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4" name="TextBox 1533">
          <a:extLst>
            <a:ext uri="{FF2B5EF4-FFF2-40B4-BE49-F238E27FC236}">
              <a16:creationId xmlns:a16="http://schemas.microsoft.com/office/drawing/2014/main" xmlns="" id="{149FACEA-696C-4884-B730-31C205003F4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5" name="TextBox 1534">
          <a:extLst>
            <a:ext uri="{FF2B5EF4-FFF2-40B4-BE49-F238E27FC236}">
              <a16:creationId xmlns:a16="http://schemas.microsoft.com/office/drawing/2014/main" xmlns="" id="{D7F34981-3123-4768-BFD9-494074DDC93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6" name="TextBox 1535">
          <a:extLst>
            <a:ext uri="{FF2B5EF4-FFF2-40B4-BE49-F238E27FC236}">
              <a16:creationId xmlns:a16="http://schemas.microsoft.com/office/drawing/2014/main" xmlns="" id="{C4F7D8A2-0F74-4FEF-B778-D696DC28BE7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7" name="TextBox 1536">
          <a:extLst>
            <a:ext uri="{FF2B5EF4-FFF2-40B4-BE49-F238E27FC236}">
              <a16:creationId xmlns:a16="http://schemas.microsoft.com/office/drawing/2014/main" xmlns="" id="{89E75380-C5F2-472B-A178-A0DF41C2C9C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8" name="TextBox 1537">
          <a:extLst>
            <a:ext uri="{FF2B5EF4-FFF2-40B4-BE49-F238E27FC236}">
              <a16:creationId xmlns:a16="http://schemas.microsoft.com/office/drawing/2014/main" xmlns="" id="{2D1DFE1B-2D74-4C24-BA44-3547FFC6A12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39" name="TextBox 1538">
          <a:extLst>
            <a:ext uri="{FF2B5EF4-FFF2-40B4-BE49-F238E27FC236}">
              <a16:creationId xmlns:a16="http://schemas.microsoft.com/office/drawing/2014/main" xmlns="" id="{C6AC32A3-598D-4D56-ABC8-02EFA28B87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0" name="TextBox 1539">
          <a:extLst>
            <a:ext uri="{FF2B5EF4-FFF2-40B4-BE49-F238E27FC236}">
              <a16:creationId xmlns:a16="http://schemas.microsoft.com/office/drawing/2014/main" xmlns="" id="{DE8B2252-8F3D-40A8-B8DA-17B87BF6C79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1" name="TextBox 1540">
          <a:extLst>
            <a:ext uri="{FF2B5EF4-FFF2-40B4-BE49-F238E27FC236}">
              <a16:creationId xmlns:a16="http://schemas.microsoft.com/office/drawing/2014/main" xmlns="" id="{3BA25078-C71D-4470-B9FE-3338E39E0C2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2" name="TextBox 1541">
          <a:extLst>
            <a:ext uri="{FF2B5EF4-FFF2-40B4-BE49-F238E27FC236}">
              <a16:creationId xmlns:a16="http://schemas.microsoft.com/office/drawing/2014/main" xmlns="" id="{4B9159DA-680C-4D69-A3E1-C2F09B9BB6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3" name="TextBox 1542">
          <a:extLst>
            <a:ext uri="{FF2B5EF4-FFF2-40B4-BE49-F238E27FC236}">
              <a16:creationId xmlns:a16="http://schemas.microsoft.com/office/drawing/2014/main" xmlns="" id="{2556F900-5AC5-458F-A285-B2E139A94CC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4" name="TextBox 1543">
          <a:extLst>
            <a:ext uri="{FF2B5EF4-FFF2-40B4-BE49-F238E27FC236}">
              <a16:creationId xmlns:a16="http://schemas.microsoft.com/office/drawing/2014/main" xmlns="" id="{D80F590E-3CCC-4B72-BDA1-3994851E18B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5" name="TextBox 1544">
          <a:extLst>
            <a:ext uri="{FF2B5EF4-FFF2-40B4-BE49-F238E27FC236}">
              <a16:creationId xmlns:a16="http://schemas.microsoft.com/office/drawing/2014/main" xmlns="" id="{D6A47D02-ACC8-417E-A643-B6D062C085D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6" name="TextBox 1545">
          <a:extLst>
            <a:ext uri="{FF2B5EF4-FFF2-40B4-BE49-F238E27FC236}">
              <a16:creationId xmlns:a16="http://schemas.microsoft.com/office/drawing/2014/main" xmlns="" id="{FD5D0D33-9B4E-4129-8A79-AA51D8847EF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7" name="TextBox 1546">
          <a:extLst>
            <a:ext uri="{FF2B5EF4-FFF2-40B4-BE49-F238E27FC236}">
              <a16:creationId xmlns:a16="http://schemas.microsoft.com/office/drawing/2014/main" xmlns="" id="{B63F5EFC-D355-4B16-9A47-74E9CF0796E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8" name="TextBox 1547">
          <a:extLst>
            <a:ext uri="{FF2B5EF4-FFF2-40B4-BE49-F238E27FC236}">
              <a16:creationId xmlns:a16="http://schemas.microsoft.com/office/drawing/2014/main" xmlns="" id="{D30527F9-7C40-483B-9DA2-70BCD20A4D1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49" name="TextBox 1548">
          <a:extLst>
            <a:ext uri="{FF2B5EF4-FFF2-40B4-BE49-F238E27FC236}">
              <a16:creationId xmlns:a16="http://schemas.microsoft.com/office/drawing/2014/main" xmlns="" id="{465AC23D-1E83-445D-B5E5-1082D002191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0" name="TextBox 1549">
          <a:extLst>
            <a:ext uri="{FF2B5EF4-FFF2-40B4-BE49-F238E27FC236}">
              <a16:creationId xmlns:a16="http://schemas.microsoft.com/office/drawing/2014/main" xmlns="" id="{973A2549-6B7C-4E79-97C1-EA620EF117C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1" name="TextBox 1550">
          <a:extLst>
            <a:ext uri="{FF2B5EF4-FFF2-40B4-BE49-F238E27FC236}">
              <a16:creationId xmlns:a16="http://schemas.microsoft.com/office/drawing/2014/main" xmlns="" id="{2C0B78E7-68A8-4BF5-86CB-A7FE41D20F8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2" name="TextBox 1551">
          <a:extLst>
            <a:ext uri="{FF2B5EF4-FFF2-40B4-BE49-F238E27FC236}">
              <a16:creationId xmlns:a16="http://schemas.microsoft.com/office/drawing/2014/main" xmlns="" id="{2AB879A9-AE0D-4E81-8B71-234B429C755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3" name="TextBox 1552">
          <a:extLst>
            <a:ext uri="{FF2B5EF4-FFF2-40B4-BE49-F238E27FC236}">
              <a16:creationId xmlns:a16="http://schemas.microsoft.com/office/drawing/2014/main" xmlns="" id="{885306E2-D1BF-413D-8D93-6DD72EFA2DC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4" name="TextBox 1553">
          <a:extLst>
            <a:ext uri="{FF2B5EF4-FFF2-40B4-BE49-F238E27FC236}">
              <a16:creationId xmlns:a16="http://schemas.microsoft.com/office/drawing/2014/main" xmlns="" id="{F95BA4DA-C246-42F3-8AF4-57F355D8C6C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5" name="TextBox 1554">
          <a:extLst>
            <a:ext uri="{FF2B5EF4-FFF2-40B4-BE49-F238E27FC236}">
              <a16:creationId xmlns:a16="http://schemas.microsoft.com/office/drawing/2014/main" xmlns="" id="{9F11C534-3B7A-4B2F-882C-0462B86C6C9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6" name="TextBox 1555">
          <a:extLst>
            <a:ext uri="{FF2B5EF4-FFF2-40B4-BE49-F238E27FC236}">
              <a16:creationId xmlns:a16="http://schemas.microsoft.com/office/drawing/2014/main" xmlns="" id="{A106CCC6-5EF9-4A40-AA24-F4FEF079569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7" name="TextBox 1556">
          <a:extLst>
            <a:ext uri="{FF2B5EF4-FFF2-40B4-BE49-F238E27FC236}">
              <a16:creationId xmlns:a16="http://schemas.microsoft.com/office/drawing/2014/main" xmlns="" id="{847B252D-86EB-46CA-86CF-41662B7D495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8" name="TextBox 1557">
          <a:extLst>
            <a:ext uri="{FF2B5EF4-FFF2-40B4-BE49-F238E27FC236}">
              <a16:creationId xmlns:a16="http://schemas.microsoft.com/office/drawing/2014/main" xmlns="" id="{7C666C3B-C38D-4F38-9E7A-EC9B7C734EA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59" name="TextBox 1558">
          <a:extLst>
            <a:ext uri="{FF2B5EF4-FFF2-40B4-BE49-F238E27FC236}">
              <a16:creationId xmlns:a16="http://schemas.microsoft.com/office/drawing/2014/main" xmlns="" id="{5AD3FD18-DD7F-438C-90FB-E235B31E0C7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0" name="TextBox 1559">
          <a:extLst>
            <a:ext uri="{FF2B5EF4-FFF2-40B4-BE49-F238E27FC236}">
              <a16:creationId xmlns:a16="http://schemas.microsoft.com/office/drawing/2014/main" xmlns="" id="{6C604608-63C0-41D0-936B-C182B8FABE1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1" name="TextBox 1560">
          <a:extLst>
            <a:ext uri="{FF2B5EF4-FFF2-40B4-BE49-F238E27FC236}">
              <a16:creationId xmlns:a16="http://schemas.microsoft.com/office/drawing/2014/main" xmlns="" id="{DBB68256-4337-4EF5-8B52-3349420DDCF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2" name="TextBox 1561">
          <a:extLst>
            <a:ext uri="{FF2B5EF4-FFF2-40B4-BE49-F238E27FC236}">
              <a16:creationId xmlns:a16="http://schemas.microsoft.com/office/drawing/2014/main" xmlns="" id="{D4A402D0-A58E-44DC-BC53-2DC61CF199A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3" name="TextBox 1562">
          <a:extLst>
            <a:ext uri="{FF2B5EF4-FFF2-40B4-BE49-F238E27FC236}">
              <a16:creationId xmlns:a16="http://schemas.microsoft.com/office/drawing/2014/main" xmlns="" id="{CF791281-6D2D-42A2-94CE-132F2D5D670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4" name="TextBox 1563">
          <a:extLst>
            <a:ext uri="{FF2B5EF4-FFF2-40B4-BE49-F238E27FC236}">
              <a16:creationId xmlns:a16="http://schemas.microsoft.com/office/drawing/2014/main" xmlns="" id="{FE53E001-E6B8-4138-AC59-EFA0D3877B0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5" name="TextBox 1564">
          <a:extLst>
            <a:ext uri="{FF2B5EF4-FFF2-40B4-BE49-F238E27FC236}">
              <a16:creationId xmlns:a16="http://schemas.microsoft.com/office/drawing/2014/main" xmlns="" id="{C7C05C3B-8688-4974-A8D1-07195C27F96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6" name="TextBox 1565">
          <a:extLst>
            <a:ext uri="{FF2B5EF4-FFF2-40B4-BE49-F238E27FC236}">
              <a16:creationId xmlns:a16="http://schemas.microsoft.com/office/drawing/2014/main" xmlns="" id="{7334202B-9FA0-47EE-8C2E-3E53162ADCB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7" name="TextBox 1566">
          <a:extLst>
            <a:ext uri="{FF2B5EF4-FFF2-40B4-BE49-F238E27FC236}">
              <a16:creationId xmlns:a16="http://schemas.microsoft.com/office/drawing/2014/main" xmlns="" id="{3F3E9F29-9380-4177-BB6C-279A9D253D8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8" name="TextBox 1567">
          <a:extLst>
            <a:ext uri="{FF2B5EF4-FFF2-40B4-BE49-F238E27FC236}">
              <a16:creationId xmlns:a16="http://schemas.microsoft.com/office/drawing/2014/main" xmlns="" id="{4D2E736D-DD1A-4919-8521-05D5EB8961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69" name="TextBox 1568">
          <a:extLst>
            <a:ext uri="{FF2B5EF4-FFF2-40B4-BE49-F238E27FC236}">
              <a16:creationId xmlns:a16="http://schemas.microsoft.com/office/drawing/2014/main" xmlns="" id="{3CEF623C-7524-49B1-A072-8B2458502EC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0" name="TextBox 1569">
          <a:extLst>
            <a:ext uri="{FF2B5EF4-FFF2-40B4-BE49-F238E27FC236}">
              <a16:creationId xmlns:a16="http://schemas.microsoft.com/office/drawing/2014/main" xmlns="" id="{0DC78644-A9AB-4ED5-8D2B-2D42AAC1639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1" name="TextBox 1570">
          <a:extLst>
            <a:ext uri="{FF2B5EF4-FFF2-40B4-BE49-F238E27FC236}">
              <a16:creationId xmlns:a16="http://schemas.microsoft.com/office/drawing/2014/main" xmlns="" id="{3093DDE6-3AF9-43FC-A13C-2CF92D19FA4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2" name="TextBox 1571">
          <a:extLst>
            <a:ext uri="{FF2B5EF4-FFF2-40B4-BE49-F238E27FC236}">
              <a16:creationId xmlns:a16="http://schemas.microsoft.com/office/drawing/2014/main" xmlns="" id="{48D88DCF-EE27-4B83-A310-41A029E7B44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3" name="TextBox 1572">
          <a:extLst>
            <a:ext uri="{FF2B5EF4-FFF2-40B4-BE49-F238E27FC236}">
              <a16:creationId xmlns:a16="http://schemas.microsoft.com/office/drawing/2014/main" xmlns="" id="{D0C2E758-E295-4C47-9BDE-5438E47C9E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4" name="TextBox 1573">
          <a:extLst>
            <a:ext uri="{FF2B5EF4-FFF2-40B4-BE49-F238E27FC236}">
              <a16:creationId xmlns:a16="http://schemas.microsoft.com/office/drawing/2014/main" xmlns="" id="{6F814F45-EC09-46BD-9544-5402429F9C3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5" name="TextBox 1574">
          <a:extLst>
            <a:ext uri="{FF2B5EF4-FFF2-40B4-BE49-F238E27FC236}">
              <a16:creationId xmlns:a16="http://schemas.microsoft.com/office/drawing/2014/main" xmlns="" id="{788C761C-E9EA-4F38-BE72-DC3656CC71F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6" name="TextBox 1575">
          <a:extLst>
            <a:ext uri="{FF2B5EF4-FFF2-40B4-BE49-F238E27FC236}">
              <a16:creationId xmlns:a16="http://schemas.microsoft.com/office/drawing/2014/main" xmlns="" id="{51E5E40B-A738-40A7-9FAF-7690D174FBF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7" name="TextBox 1576">
          <a:extLst>
            <a:ext uri="{FF2B5EF4-FFF2-40B4-BE49-F238E27FC236}">
              <a16:creationId xmlns:a16="http://schemas.microsoft.com/office/drawing/2014/main" xmlns="" id="{5E92F1FE-5C10-45D6-A64D-855CD41A823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8" name="TextBox 1577">
          <a:extLst>
            <a:ext uri="{FF2B5EF4-FFF2-40B4-BE49-F238E27FC236}">
              <a16:creationId xmlns:a16="http://schemas.microsoft.com/office/drawing/2014/main" xmlns="" id="{057EF612-A595-41BE-B161-3CF373A4BAF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79" name="TextBox 1578">
          <a:extLst>
            <a:ext uri="{FF2B5EF4-FFF2-40B4-BE49-F238E27FC236}">
              <a16:creationId xmlns:a16="http://schemas.microsoft.com/office/drawing/2014/main" xmlns="" id="{F85AACFA-8D59-4263-AD62-9AE417E2876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0" name="TextBox 1579">
          <a:extLst>
            <a:ext uri="{FF2B5EF4-FFF2-40B4-BE49-F238E27FC236}">
              <a16:creationId xmlns:a16="http://schemas.microsoft.com/office/drawing/2014/main" xmlns="" id="{CBC16805-46E8-4B4C-8C53-B0E7708793F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1" name="TextBox 1580">
          <a:extLst>
            <a:ext uri="{FF2B5EF4-FFF2-40B4-BE49-F238E27FC236}">
              <a16:creationId xmlns:a16="http://schemas.microsoft.com/office/drawing/2014/main" xmlns="" id="{A07B9797-61C7-49E3-91ED-27DCD0DDD31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2" name="TextBox 1581">
          <a:extLst>
            <a:ext uri="{FF2B5EF4-FFF2-40B4-BE49-F238E27FC236}">
              <a16:creationId xmlns:a16="http://schemas.microsoft.com/office/drawing/2014/main" xmlns="" id="{2A1F98B6-DA16-4B12-99CB-96D7529E7D3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3" name="TextBox 1582">
          <a:extLst>
            <a:ext uri="{FF2B5EF4-FFF2-40B4-BE49-F238E27FC236}">
              <a16:creationId xmlns:a16="http://schemas.microsoft.com/office/drawing/2014/main" xmlns="" id="{779C74C5-0BFA-4DC0-A15E-9E651B1E489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4" name="TextBox 1583">
          <a:extLst>
            <a:ext uri="{FF2B5EF4-FFF2-40B4-BE49-F238E27FC236}">
              <a16:creationId xmlns:a16="http://schemas.microsoft.com/office/drawing/2014/main" xmlns="" id="{D4DC3BBB-5DC4-48FF-A04A-DC0C84A6002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5" name="TextBox 1584">
          <a:extLst>
            <a:ext uri="{FF2B5EF4-FFF2-40B4-BE49-F238E27FC236}">
              <a16:creationId xmlns:a16="http://schemas.microsoft.com/office/drawing/2014/main" xmlns="" id="{B5011AFC-BD5F-4443-AE25-D4AC14461BA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6" name="TextBox 1585">
          <a:extLst>
            <a:ext uri="{FF2B5EF4-FFF2-40B4-BE49-F238E27FC236}">
              <a16:creationId xmlns:a16="http://schemas.microsoft.com/office/drawing/2014/main" xmlns="" id="{75CC7841-CF4E-4491-9190-828F78DD2E2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7" name="TextBox 1586">
          <a:extLst>
            <a:ext uri="{FF2B5EF4-FFF2-40B4-BE49-F238E27FC236}">
              <a16:creationId xmlns:a16="http://schemas.microsoft.com/office/drawing/2014/main" xmlns="" id="{358D0967-92A4-4838-90B0-E86DC6F3D04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8" name="TextBox 1587">
          <a:extLst>
            <a:ext uri="{FF2B5EF4-FFF2-40B4-BE49-F238E27FC236}">
              <a16:creationId xmlns:a16="http://schemas.microsoft.com/office/drawing/2014/main" xmlns="" id="{7F99953F-E5DB-4DB1-BB59-95B92476FD6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89" name="TextBox 1588">
          <a:extLst>
            <a:ext uri="{FF2B5EF4-FFF2-40B4-BE49-F238E27FC236}">
              <a16:creationId xmlns:a16="http://schemas.microsoft.com/office/drawing/2014/main" xmlns="" id="{9855F089-7F5D-4ACA-8B00-D28D96D6829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0" name="TextBox 1589">
          <a:extLst>
            <a:ext uri="{FF2B5EF4-FFF2-40B4-BE49-F238E27FC236}">
              <a16:creationId xmlns:a16="http://schemas.microsoft.com/office/drawing/2014/main" xmlns="" id="{FAD20E85-C5D2-44D6-97DA-8715E34C84E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1" name="TextBox 1590">
          <a:extLst>
            <a:ext uri="{FF2B5EF4-FFF2-40B4-BE49-F238E27FC236}">
              <a16:creationId xmlns:a16="http://schemas.microsoft.com/office/drawing/2014/main" xmlns="" id="{C9087DA2-B1FB-405C-802F-A2C438B72AB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2" name="TextBox 1591">
          <a:extLst>
            <a:ext uri="{FF2B5EF4-FFF2-40B4-BE49-F238E27FC236}">
              <a16:creationId xmlns:a16="http://schemas.microsoft.com/office/drawing/2014/main" xmlns="" id="{25860AFB-A2E4-455A-90D0-D227CB120C4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3" name="TextBox 1592">
          <a:extLst>
            <a:ext uri="{FF2B5EF4-FFF2-40B4-BE49-F238E27FC236}">
              <a16:creationId xmlns:a16="http://schemas.microsoft.com/office/drawing/2014/main" xmlns="" id="{FFEAFF52-0BB6-428B-8A65-1A9487559D7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4" name="TextBox 1593">
          <a:extLst>
            <a:ext uri="{FF2B5EF4-FFF2-40B4-BE49-F238E27FC236}">
              <a16:creationId xmlns:a16="http://schemas.microsoft.com/office/drawing/2014/main" xmlns="" id="{2B81A640-C050-4419-92A9-4320384867E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5" name="TextBox 1594">
          <a:extLst>
            <a:ext uri="{FF2B5EF4-FFF2-40B4-BE49-F238E27FC236}">
              <a16:creationId xmlns:a16="http://schemas.microsoft.com/office/drawing/2014/main" xmlns="" id="{F7335D6E-4118-43E2-A4A2-792D06211ED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6" name="TextBox 1595">
          <a:extLst>
            <a:ext uri="{FF2B5EF4-FFF2-40B4-BE49-F238E27FC236}">
              <a16:creationId xmlns:a16="http://schemas.microsoft.com/office/drawing/2014/main" xmlns="" id="{8265DD15-8B1E-47A9-91E1-32CE1F08637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7" name="TextBox 1596">
          <a:extLst>
            <a:ext uri="{FF2B5EF4-FFF2-40B4-BE49-F238E27FC236}">
              <a16:creationId xmlns:a16="http://schemas.microsoft.com/office/drawing/2014/main" xmlns="" id="{4A9DF090-266B-4749-B72F-353B86F3477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8" name="TextBox 1597">
          <a:extLst>
            <a:ext uri="{FF2B5EF4-FFF2-40B4-BE49-F238E27FC236}">
              <a16:creationId xmlns:a16="http://schemas.microsoft.com/office/drawing/2014/main" xmlns="" id="{B1157EC1-CF67-44F1-BBEB-C8D3BD94C23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599" name="TextBox 1598">
          <a:extLst>
            <a:ext uri="{FF2B5EF4-FFF2-40B4-BE49-F238E27FC236}">
              <a16:creationId xmlns:a16="http://schemas.microsoft.com/office/drawing/2014/main" xmlns="" id="{AF6B780D-90B3-403A-A43C-DB63E2E490A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0" name="TextBox 1599">
          <a:extLst>
            <a:ext uri="{FF2B5EF4-FFF2-40B4-BE49-F238E27FC236}">
              <a16:creationId xmlns:a16="http://schemas.microsoft.com/office/drawing/2014/main" xmlns="" id="{6DC38645-333A-41A8-8983-45BAFCDBEC9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1" name="TextBox 1600">
          <a:extLst>
            <a:ext uri="{FF2B5EF4-FFF2-40B4-BE49-F238E27FC236}">
              <a16:creationId xmlns:a16="http://schemas.microsoft.com/office/drawing/2014/main" xmlns="" id="{0870523B-4399-42F1-8908-9CFA36625D7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2" name="TextBox 1601">
          <a:extLst>
            <a:ext uri="{FF2B5EF4-FFF2-40B4-BE49-F238E27FC236}">
              <a16:creationId xmlns:a16="http://schemas.microsoft.com/office/drawing/2014/main" xmlns="" id="{6D3E35E0-D390-4EC5-B2C3-4DE6EDE3B5E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3" name="TextBox 1602">
          <a:extLst>
            <a:ext uri="{FF2B5EF4-FFF2-40B4-BE49-F238E27FC236}">
              <a16:creationId xmlns:a16="http://schemas.microsoft.com/office/drawing/2014/main" xmlns="" id="{AF339D73-86CC-4E37-AF4C-B9D32088278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4" name="TextBox 1603">
          <a:extLst>
            <a:ext uri="{FF2B5EF4-FFF2-40B4-BE49-F238E27FC236}">
              <a16:creationId xmlns:a16="http://schemas.microsoft.com/office/drawing/2014/main" xmlns="" id="{C4A8C4AA-B484-4E15-B0A7-56704136B21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5" name="TextBox 1604">
          <a:extLst>
            <a:ext uri="{FF2B5EF4-FFF2-40B4-BE49-F238E27FC236}">
              <a16:creationId xmlns:a16="http://schemas.microsoft.com/office/drawing/2014/main" xmlns="" id="{108DE3F7-4D1D-47F1-9D18-956D10E6662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6" name="TextBox 1605">
          <a:extLst>
            <a:ext uri="{FF2B5EF4-FFF2-40B4-BE49-F238E27FC236}">
              <a16:creationId xmlns:a16="http://schemas.microsoft.com/office/drawing/2014/main" xmlns="" id="{ED41D058-259B-4136-9644-11BD0AC90FD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7" name="TextBox 1606">
          <a:extLst>
            <a:ext uri="{FF2B5EF4-FFF2-40B4-BE49-F238E27FC236}">
              <a16:creationId xmlns:a16="http://schemas.microsoft.com/office/drawing/2014/main" xmlns="" id="{CAE5145E-814F-4183-887E-897E4181746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8" name="TextBox 1607">
          <a:extLst>
            <a:ext uri="{FF2B5EF4-FFF2-40B4-BE49-F238E27FC236}">
              <a16:creationId xmlns:a16="http://schemas.microsoft.com/office/drawing/2014/main" xmlns="" id="{23EF6B41-934A-446C-BD94-82E87FB7358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09" name="TextBox 1608">
          <a:extLst>
            <a:ext uri="{FF2B5EF4-FFF2-40B4-BE49-F238E27FC236}">
              <a16:creationId xmlns:a16="http://schemas.microsoft.com/office/drawing/2014/main" xmlns="" id="{29C6D459-7B01-48B1-935D-EB6679F05CE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0" name="TextBox 1609">
          <a:extLst>
            <a:ext uri="{FF2B5EF4-FFF2-40B4-BE49-F238E27FC236}">
              <a16:creationId xmlns:a16="http://schemas.microsoft.com/office/drawing/2014/main" xmlns="" id="{41068DE5-F445-49AF-8F48-7845531699F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1" name="TextBox 1610">
          <a:extLst>
            <a:ext uri="{FF2B5EF4-FFF2-40B4-BE49-F238E27FC236}">
              <a16:creationId xmlns:a16="http://schemas.microsoft.com/office/drawing/2014/main" xmlns="" id="{44C22B8B-E7B9-4BBB-9578-851CE32BC67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2" name="TextBox 1611">
          <a:extLst>
            <a:ext uri="{FF2B5EF4-FFF2-40B4-BE49-F238E27FC236}">
              <a16:creationId xmlns:a16="http://schemas.microsoft.com/office/drawing/2014/main" xmlns="" id="{9E03BC81-7305-4C0E-9E06-1DC064FB960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3" name="TextBox 1612">
          <a:extLst>
            <a:ext uri="{FF2B5EF4-FFF2-40B4-BE49-F238E27FC236}">
              <a16:creationId xmlns:a16="http://schemas.microsoft.com/office/drawing/2014/main" xmlns="" id="{1ADAE79D-6667-4565-AD2D-216AA22BBC2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4" name="TextBox 1613">
          <a:extLst>
            <a:ext uri="{FF2B5EF4-FFF2-40B4-BE49-F238E27FC236}">
              <a16:creationId xmlns:a16="http://schemas.microsoft.com/office/drawing/2014/main" xmlns="" id="{2BD1AABF-931B-4B33-AE9A-0FF1310D43F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5" name="TextBox 1614">
          <a:extLst>
            <a:ext uri="{FF2B5EF4-FFF2-40B4-BE49-F238E27FC236}">
              <a16:creationId xmlns:a16="http://schemas.microsoft.com/office/drawing/2014/main" xmlns="" id="{F01F0189-6698-4A96-BB7C-FF764E73753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6" name="TextBox 1615">
          <a:extLst>
            <a:ext uri="{FF2B5EF4-FFF2-40B4-BE49-F238E27FC236}">
              <a16:creationId xmlns:a16="http://schemas.microsoft.com/office/drawing/2014/main" xmlns="" id="{AF083694-11E0-4CB4-BD7A-865CC47794C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7" name="TextBox 1616">
          <a:extLst>
            <a:ext uri="{FF2B5EF4-FFF2-40B4-BE49-F238E27FC236}">
              <a16:creationId xmlns:a16="http://schemas.microsoft.com/office/drawing/2014/main" xmlns="" id="{137DE6C3-646E-4C01-849D-A78B6A5A8E9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8" name="TextBox 1617">
          <a:extLst>
            <a:ext uri="{FF2B5EF4-FFF2-40B4-BE49-F238E27FC236}">
              <a16:creationId xmlns:a16="http://schemas.microsoft.com/office/drawing/2014/main" xmlns="" id="{A673F01A-3845-4C47-98DE-58E30EA3E5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19" name="TextBox 1618">
          <a:extLst>
            <a:ext uri="{FF2B5EF4-FFF2-40B4-BE49-F238E27FC236}">
              <a16:creationId xmlns:a16="http://schemas.microsoft.com/office/drawing/2014/main" xmlns="" id="{F4D84DAA-4891-434D-B5ED-E9588C4CE95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0" name="TextBox 1619">
          <a:extLst>
            <a:ext uri="{FF2B5EF4-FFF2-40B4-BE49-F238E27FC236}">
              <a16:creationId xmlns:a16="http://schemas.microsoft.com/office/drawing/2014/main" xmlns="" id="{DB6B5A72-0C7C-4CB1-9E34-C62E99654A9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1" name="TextBox 1620">
          <a:extLst>
            <a:ext uri="{FF2B5EF4-FFF2-40B4-BE49-F238E27FC236}">
              <a16:creationId xmlns:a16="http://schemas.microsoft.com/office/drawing/2014/main" xmlns="" id="{66FC4DF4-44EF-4152-AC62-B371FDA0715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2" name="TextBox 1621">
          <a:extLst>
            <a:ext uri="{FF2B5EF4-FFF2-40B4-BE49-F238E27FC236}">
              <a16:creationId xmlns:a16="http://schemas.microsoft.com/office/drawing/2014/main" xmlns="" id="{D5B56558-8AB9-4722-B586-0DD66B96472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3" name="TextBox 1622">
          <a:extLst>
            <a:ext uri="{FF2B5EF4-FFF2-40B4-BE49-F238E27FC236}">
              <a16:creationId xmlns:a16="http://schemas.microsoft.com/office/drawing/2014/main" xmlns="" id="{E8A7821D-A98F-4B7A-A33D-167D6E215D8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4" name="TextBox 1623">
          <a:extLst>
            <a:ext uri="{FF2B5EF4-FFF2-40B4-BE49-F238E27FC236}">
              <a16:creationId xmlns:a16="http://schemas.microsoft.com/office/drawing/2014/main" xmlns="" id="{E41FC125-3107-44B5-8FAD-0B78A04573F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5" name="TextBox 1624">
          <a:extLst>
            <a:ext uri="{FF2B5EF4-FFF2-40B4-BE49-F238E27FC236}">
              <a16:creationId xmlns:a16="http://schemas.microsoft.com/office/drawing/2014/main" xmlns="" id="{FDD19006-871A-47D0-80C6-25AB4DF1860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6" name="TextBox 1625">
          <a:extLst>
            <a:ext uri="{FF2B5EF4-FFF2-40B4-BE49-F238E27FC236}">
              <a16:creationId xmlns:a16="http://schemas.microsoft.com/office/drawing/2014/main" xmlns="" id="{60BB95D7-0C68-4D82-8252-36CF29900B6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7" name="TextBox 1626">
          <a:extLst>
            <a:ext uri="{FF2B5EF4-FFF2-40B4-BE49-F238E27FC236}">
              <a16:creationId xmlns:a16="http://schemas.microsoft.com/office/drawing/2014/main" xmlns="" id="{C223EF56-EB16-41CD-9A75-3AE4F8F8B0D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8" name="TextBox 1627">
          <a:extLst>
            <a:ext uri="{FF2B5EF4-FFF2-40B4-BE49-F238E27FC236}">
              <a16:creationId xmlns:a16="http://schemas.microsoft.com/office/drawing/2014/main" xmlns="" id="{918A29C4-B432-45B7-A4A6-E80D97B8100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29" name="TextBox 1628">
          <a:extLst>
            <a:ext uri="{FF2B5EF4-FFF2-40B4-BE49-F238E27FC236}">
              <a16:creationId xmlns:a16="http://schemas.microsoft.com/office/drawing/2014/main" xmlns="" id="{0837EAA4-531B-416E-AC26-86DC92EB9B1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0" name="TextBox 1629">
          <a:extLst>
            <a:ext uri="{FF2B5EF4-FFF2-40B4-BE49-F238E27FC236}">
              <a16:creationId xmlns:a16="http://schemas.microsoft.com/office/drawing/2014/main" xmlns="" id="{6494187F-C64D-4B6A-93F9-2308B529760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1" name="TextBox 1630">
          <a:extLst>
            <a:ext uri="{FF2B5EF4-FFF2-40B4-BE49-F238E27FC236}">
              <a16:creationId xmlns:a16="http://schemas.microsoft.com/office/drawing/2014/main" xmlns="" id="{5F0700CE-2464-4047-A2E2-22D2ED5DA93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2" name="TextBox 1631">
          <a:extLst>
            <a:ext uri="{FF2B5EF4-FFF2-40B4-BE49-F238E27FC236}">
              <a16:creationId xmlns:a16="http://schemas.microsoft.com/office/drawing/2014/main" xmlns="" id="{128F1EA0-451C-4BBE-8CF8-3D822E4FEF1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3" name="TextBox 1632">
          <a:extLst>
            <a:ext uri="{FF2B5EF4-FFF2-40B4-BE49-F238E27FC236}">
              <a16:creationId xmlns:a16="http://schemas.microsoft.com/office/drawing/2014/main" xmlns="" id="{1D2D2C93-D274-43EC-BDA8-FE3BCE39DE3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4" name="TextBox 1633">
          <a:extLst>
            <a:ext uri="{FF2B5EF4-FFF2-40B4-BE49-F238E27FC236}">
              <a16:creationId xmlns:a16="http://schemas.microsoft.com/office/drawing/2014/main" xmlns="" id="{30863B93-3792-443F-B432-D4BD6655900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5" name="TextBox 1634">
          <a:extLst>
            <a:ext uri="{FF2B5EF4-FFF2-40B4-BE49-F238E27FC236}">
              <a16:creationId xmlns:a16="http://schemas.microsoft.com/office/drawing/2014/main" xmlns="" id="{1A71D349-EA2F-4D6E-AC17-122FE72643C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6" name="TextBox 1635">
          <a:extLst>
            <a:ext uri="{FF2B5EF4-FFF2-40B4-BE49-F238E27FC236}">
              <a16:creationId xmlns:a16="http://schemas.microsoft.com/office/drawing/2014/main" xmlns="" id="{73DCF429-D0B1-4EBD-A831-C68DF428558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7" name="TextBox 1636">
          <a:extLst>
            <a:ext uri="{FF2B5EF4-FFF2-40B4-BE49-F238E27FC236}">
              <a16:creationId xmlns:a16="http://schemas.microsoft.com/office/drawing/2014/main" xmlns="" id="{6BB6E788-F2F2-413F-84F3-C34ABB5407C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8" name="TextBox 1637">
          <a:extLst>
            <a:ext uri="{FF2B5EF4-FFF2-40B4-BE49-F238E27FC236}">
              <a16:creationId xmlns:a16="http://schemas.microsoft.com/office/drawing/2014/main" xmlns="" id="{791CB44A-3344-43CA-8B73-9AA27401AA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39" name="TextBox 1638">
          <a:extLst>
            <a:ext uri="{FF2B5EF4-FFF2-40B4-BE49-F238E27FC236}">
              <a16:creationId xmlns:a16="http://schemas.microsoft.com/office/drawing/2014/main" xmlns="" id="{14D12B4C-313B-4B44-AEBE-FD5D0E65965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0" name="TextBox 1639">
          <a:extLst>
            <a:ext uri="{FF2B5EF4-FFF2-40B4-BE49-F238E27FC236}">
              <a16:creationId xmlns:a16="http://schemas.microsoft.com/office/drawing/2014/main" xmlns="" id="{88261E1B-BB2C-41E0-A3B6-F73A84D5DC6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1" name="TextBox 1640">
          <a:extLst>
            <a:ext uri="{FF2B5EF4-FFF2-40B4-BE49-F238E27FC236}">
              <a16:creationId xmlns:a16="http://schemas.microsoft.com/office/drawing/2014/main" xmlns="" id="{88B25317-F09F-45CF-859E-63A8E3FF4E3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2" name="TextBox 1641">
          <a:extLst>
            <a:ext uri="{FF2B5EF4-FFF2-40B4-BE49-F238E27FC236}">
              <a16:creationId xmlns:a16="http://schemas.microsoft.com/office/drawing/2014/main" xmlns="" id="{3DC9E45E-2EB1-43C7-A48B-B2A3CCEE4F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3" name="TextBox 1642">
          <a:extLst>
            <a:ext uri="{FF2B5EF4-FFF2-40B4-BE49-F238E27FC236}">
              <a16:creationId xmlns:a16="http://schemas.microsoft.com/office/drawing/2014/main" xmlns="" id="{9082F895-4C21-4216-8A8A-D1AFE412C83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4" name="TextBox 1643">
          <a:extLst>
            <a:ext uri="{FF2B5EF4-FFF2-40B4-BE49-F238E27FC236}">
              <a16:creationId xmlns:a16="http://schemas.microsoft.com/office/drawing/2014/main" xmlns="" id="{76AD63F6-D56A-4688-9553-3BF2AF483E7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5" name="TextBox 1644">
          <a:extLst>
            <a:ext uri="{FF2B5EF4-FFF2-40B4-BE49-F238E27FC236}">
              <a16:creationId xmlns:a16="http://schemas.microsoft.com/office/drawing/2014/main" xmlns="" id="{323C4278-DB8E-4687-82AC-9BB794367E4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6" name="TextBox 1645">
          <a:extLst>
            <a:ext uri="{FF2B5EF4-FFF2-40B4-BE49-F238E27FC236}">
              <a16:creationId xmlns:a16="http://schemas.microsoft.com/office/drawing/2014/main" xmlns="" id="{8C97B57E-DDF8-40F5-B6E4-D2AC8996714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7" name="TextBox 1646">
          <a:extLst>
            <a:ext uri="{FF2B5EF4-FFF2-40B4-BE49-F238E27FC236}">
              <a16:creationId xmlns:a16="http://schemas.microsoft.com/office/drawing/2014/main" xmlns="" id="{43BDB609-4F59-458D-9ECA-5C0ADADED29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8" name="TextBox 1647">
          <a:extLst>
            <a:ext uri="{FF2B5EF4-FFF2-40B4-BE49-F238E27FC236}">
              <a16:creationId xmlns:a16="http://schemas.microsoft.com/office/drawing/2014/main" xmlns="" id="{54C12F7C-E2B4-4C97-A541-A7922686A65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49" name="TextBox 1648">
          <a:extLst>
            <a:ext uri="{FF2B5EF4-FFF2-40B4-BE49-F238E27FC236}">
              <a16:creationId xmlns:a16="http://schemas.microsoft.com/office/drawing/2014/main" xmlns="" id="{3892C5CA-DBF6-41E1-BD9E-C5AD7AA88A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0" name="TextBox 1649">
          <a:extLst>
            <a:ext uri="{FF2B5EF4-FFF2-40B4-BE49-F238E27FC236}">
              <a16:creationId xmlns:a16="http://schemas.microsoft.com/office/drawing/2014/main" xmlns="" id="{04561EC2-D744-4A2B-A008-4D6F800CFEB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1" name="TextBox 1650">
          <a:extLst>
            <a:ext uri="{FF2B5EF4-FFF2-40B4-BE49-F238E27FC236}">
              <a16:creationId xmlns:a16="http://schemas.microsoft.com/office/drawing/2014/main" xmlns="" id="{6F331CB3-EB89-432B-A720-32FB626E74E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2" name="TextBox 1651">
          <a:extLst>
            <a:ext uri="{FF2B5EF4-FFF2-40B4-BE49-F238E27FC236}">
              <a16:creationId xmlns:a16="http://schemas.microsoft.com/office/drawing/2014/main" xmlns="" id="{9BE0EDF7-909D-4B05-AC9A-00115B91B8C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3" name="TextBox 1652">
          <a:extLst>
            <a:ext uri="{FF2B5EF4-FFF2-40B4-BE49-F238E27FC236}">
              <a16:creationId xmlns:a16="http://schemas.microsoft.com/office/drawing/2014/main" xmlns="" id="{30BB61F0-5E7F-47B7-BFFB-0A349C4B074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4" name="TextBox 1653">
          <a:extLst>
            <a:ext uri="{FF2B5EF4-FFF2-40B4-BE49-F238E27FC236}">
              <a16:creationId xmlns:a16="http://schemas.microsoft.com/office/drawing/2014/main" xmlns="" id="{556F8D6C-E247-4037-8A6A-C5983930F60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5" name="TextBox 1654">
          <a:extLst>
            <a:ext uri="{FF2B5EF4-FFF2-40B4-BE49-F238E27FC236}">
              <a16:creationId xmlns:a16="http://schemas.microsoft.com/office/drawing/2014/main" xmlns="" id="{1FA56C41-050E-4B12-B050-36F31E226ED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6" name="TextBox 1655">
          <a:extLst>
            <a:ext uri="{FF2B5EF4-FFF2-40B4-BE49-F238E27FC236}">
              <a16:creationId xmlns:a16="http://schemas.microsoft.com/office/drawing/2014/main" xmlns="" id="{6541C619-E8BF-4399-959C-37E03385FCA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7" name="TextBox 1656">
          <a:extLst>
            <a:ext uri="{FF2B5EF4-FFF2-40B4-BE49-F238E27FC236}">
              <a16:creationId xmlns:a16="http://schemas.microsoft.com/office/drawing/2014/main" xmlns="" id="{A92FE2AE-D720-4300-B36B-007A6F6CC3C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8" name="TextBox 1657">
          <a:extLst>
            <a:ext uri="{FF2B5EF4-FFF2-40B4-BE49-F238E27FC236}">
              <a16:creationId xmlns:a16="http://schemas.microsoft.com/office/drawing/2014/main" xmlns="" id="{FD22032B-4271-4A3D-9B71-455A5E485BC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59" name="TextBox 1658">
          <a:extLst>
            <a:ext uri="{FF2B5EF4-FFF2-40B4-BE49-F238E27FC236}">
              <a16:creationId xmlns:a16="http://schemas.microsoft.com/office/drawing/2014/main" xmlns="" id="{C7B86F7B-DE1D-405D-B1E2-50A81913493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0" name="TextBox 1659">
          <a:extLst>
            <a:ext uri="{FF2B5EF4-FFF2-40B4-BE49-F238E27FC236}">
              <a16:creationId xmlns:a16="http://schemas.microsoft.com/office/drawing/2014/main" xmlns="" id="{7665034E-07FD-4F94-84EC-05A1E042E6F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1" name="TextBox 1660">
          <a:extLst>
            <a:ext uri="{FF2B5EF4-FFF2-40B4-BE49-F238E27FC236}">
              <a16:creationId xmlns:a16="http://schemas.microsoft.com/office/drawing/2014/main" xmlns="" id="{3A085387-4305-443D-936B-92B3EA1E717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2" name="TextBox 1661">
          <a:extLst>
            <a:ext uri="{FF2B5EF4-FFF2-40B4-BE49-F238E27FC236}">
              <a16:creationId xmlns:a16="http://schemas.microsoft.com/office/drawing/2014/main" xmlns="" id="{3C7AD838-9686-4B3C-A455-F35E02F598F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3" name="TextBox 1662">
          <a:extLst>
            <a:ext uri="{FF2B5EF4-FFF2-40B4-BE49-F238E27FC236}">
              <a16:creationId xmlns:a16="http://schemas.microsoft.com/office/drawing/2014/main" xmlns="" id="{22CCC648-C367-4C5E-96C8-706266FE1F9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4" name="TextBox 1663">
          <a:extLst>
            <a:ext uri="{FF2B5EF4-FFF2-40B4-BE49-F238E27FC236}">
              <a16:creationId xmlns:a16="http://schemas.microsoft.com/office/drawing/2014/main" xmlns="" id="{18E3D339-29E4-4D2E-84A6-014A6A8927E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5" name="TextBox 1664">
          <a:extLst>
            <a:ext uri="{FF2B5EF4-FFF2-40B4-BE49-F238E27FC236}">
              <a16:creationId xmlns:a16="http://schemas.microsoft.com/office/drawing/2014/main" xmlns="" id="{39275733-3CFF-4B52-8A59-977C9749D01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6" name="TextBox 1665">
          <a:extLst>
            <a:ext uri="{FF2B5EF4-FFF2-40B4-BE49-F238E27FC236}">
              <a16:creationId xmlns:a16="http://schemas.microsoft.com/office/drawing/2014/main" xmlns="" id="{47C2F90E-E8C6-4088-9239-A0E05A92449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7" name="TextBox 1666">
          <a:extLst>
            <a:ext uri="{FF2B5EF4-FFF2-40B4-BE49-F238E27FC236}">
              <a16:creationId xmlns:a16="http://schemas.microsoft.com/office/drawing/2014/main" xmlns="" id="{4CA3AE4A-6A7E-4ADA-865E-26E7E7735FA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8" name="TextBox 1667">
          <a:extLst>
            <a:ext uri="{FF2B5EF4-FFF2-40B4-BE49-F238E27FC236}">
              <a16:creationId xmlns:a16="http://schemas.microsoft.com/office/drawing/2014/main" xmlns="" id="{F83D9C55-7696-48DD-BBF1-5D91DE7D0D8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69" name="TextBox 1668">
          <a:extLst>
            <a:ext uri="{FF2B5EF4-FFF2-40B4-BE49-F238E27FC236}">
              <a16:creationId xmlns:a16="http://schemas.microsoft.com/office/drawing/2014/main" xmlns="" id="{5305D8F5-A4D8-4D6A-AADC-EFC7E66135D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0" name="TextBox 1669">
          <a:extLst>
            <a:ext uri="{FF2B5EF4-FFF2-40B4-BE49-F238E27FC236}">
              <a16:creationId xmlns:a16="http://schemas.microsoft.com/office/drawing/2014/main" xmlns="" id="{23634E67-8F5D-455D-876A-F6FAB87B43C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1" name="TextBox 1670">
          <a:extLst>
            <a:ext uri="{FF2B5EF4-FFF2-40B4-BE49-F238E27FC236}">
              <a16:creationId xmlns:a16="http://schemas.microsoft.com/office/drawing/2014/main" xmlns="" id="{C8F77A03-94B7-4108-8213-0E16C0ED61F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2" name="TextBox 1671">
          <a:extLst>
            <a:ext uri="{FF2B5EF4-FFF2-40B4-BE49-F238E27FC236}">
              <a16:creationId xmlns:a16="http://schemas.microsoft.com/office/drawing/2014/main" xmlns="" id="{AE1A2DFA-C6E6-4B64-8532-70576908421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3" name="TextBox 1672">
          <a:extLst>
            <a:ext uri="{FF2B5EF4-FFF2-40B4-BE49-F238E27FC236}">
              <a16:creationId xmlns:a16="http://schemas.microsoft.com/office/drawing/2014/main" xmlns="" id="{73B8487C-FB09-4BC4-BB04-6BF661A75B0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4" name="TextBox 1673">
          <a:extLst>
            <a:ext uri="{FF2B5EF4-FFF2-40B4-BE49-F238E27FC236}">
              <a16:creationId xmlns:a16="http://schemas.microsoft.com/office/drawing/2014/main" xmlns="" id="{BFCD0C5A-0C19-4FEC-B468-CAEC6245AD2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5" name="TextBox 1674">
          <a:extLst>
            <a:ext uri="{FF2B5EF4-FFF2-40B4-BE49-F238E27FC236}">
              <a16:creationId xmlns:a16="http://schemas.microsoft.com/office/drawing/2014/main" xmlns="" id="{27A8C45D-A52C-4890-AEA9-3CDB126AA1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6" name="TextBox 1675">
          <a:extLst>
            <a:ext uri="{FF2B5EF4-FFF2-40B4-BE49-F238E27FC236}">
              <a16:creationId xmlns:a16="http://schemas.microsoft.com/office/drawing/2014/main" xmlns="" id="{14B2C438-494F-4741-9C0D-4CF761AC12D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7" name="TextBox 1676">
          <a:extLst>
            <a:ext uri="{FF2B5EF4-FFF2-40B4-BE49-F238E27FC236}">
              <a16:creationId xmlns:a16="http://schemas.microsoft.com/office/drawing/2014/main" xmlns="" id="{0A5CB545-90F1-419F-BB5A-C20611A9A29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8" name="TextBox 1677">
          <a:extLst>
            <a:ext uri="{FF2B5EF4-FFF2-40B4-BE49-F238E27FC236}">
              <a16:creationId xmlns:a16="http://schemas.microsoft.com/office/drawing/2014/main" xmlns="" id="{091548EC-08ED-4019-B75B-7E4DCAE3E8A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79" name="TextBox 1678">
          <a:extLst>
            <a:ext uri="{FF2B5EF4-FFF2-40B4-BE49-F238E27FC236}">
              <a16:creationId xmlns:a16="http://schemas.microsoft.com/office/drawing/2014/main" xmlns="" id="{661E5912-D7BF-4752-98CC-652872F00C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0" name="TextBox 1679">
          <a:extLst>
            <a:ext uri="{FF2B5EF4-FFF2-40B4-BE49-F238E27FC236}">
              <a16:creationId xmlns:a16="http://schemas.microsoft.com/office/drawing/2014/main" xmlns="" id="{90DBDC68-9802-42E8-96B5-A981E402CD0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1" name="TextBox 1680">
          <a:extLst>
            <a:ext uri="{FF2B5EF4-FFF2-40B4-BE49-F238E27FC236}">
              <a16:creationId xmlns:a16="http://schemas.microsoft.com/office/drawing/2014/main" xmlns="" id="{6B88DD67-EEE4-4103-8156-629B606D04E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2" name="TextBox 1681">
          <a:extLst>
            <a:ext uri="{FF2B5EF4-FFF2-40B4-BE49-F238E27FC236}">
              <a16:creationId xmlns:a16="http://schemas.microsoft.com/office/drawing/2014/main" xmlns="" id="{D74DB7AE-A37D-4962-84B4-597FAC57FCD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3" name="TextBox 1682">
          <a:extLst>
            <a:ext uri="{FF2B5EF4-FFF2-40B4-BE49-F238E27FC236}">
              <a16:creationId xmlns:a16="http://schemas.microsoft.com/office/drawing/2014/main" xmlns="" id="{519DC49D-7A4C-4BC3-B37C-E2C046C2326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4" name="TextBox 1683">
          <a:extLst>
            <a:ext uri="{FF2B5EF4-FFF2-40B4-BE49-F238E27FC236}">
              <a16:creationId xmlns:a16="http://schemas.microsoft.com/office/drawing/2014/main" xmlns="" id="{4C279E2E-D109-4861-9945-AE750FB6635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5" name="TextBox 1684">
          <a:extLst>
            <a:ext uri="{FF2B5EF4-FFF2-40B4-BE49-F238E27FC236}">
              <a16:creationId xmlns:a16="http://schemas.microsoft.com/office/drawing/2014/main" xmlns="" id="{91BFE122-CB15-46E2-A72C-606E4AD57BC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6" name="TextBox 1685">
          <a:extLst>
            <a:ext uri="{FF2B5EF4-FFF2-40B4-BE49-F238E27FC236}">
              <a16:creationId xmlns:a16="http://schemas.microsoft.com/office/drawing/2014/main" xmlns="" id="{E0D6EA4E-D62D-4E30-96E0-AE6C3186661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7" name="TextBox 1686">
          <a:extLst>
            <a:ext uri="{FF2B5EF4-FFF2-40B4-BE49-F238E27FC236}">
              <a16:creationId xmlns:a16="http://schemas.microsoft.com/office/drawing/2014/main" xmlns="" id="{568F35D6-C160-4B0C-A240-B18C039AF2C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8" name="TextBox 1687">
          <a:extLst>
            <a:ext uri="{FF2B5EF4-FFF2-40B4-BE49-F238E27FC236}">
              <a16:creationId xmlns:a16="http://schemas.microsoft.com/office/drawing/2014/main" xmlns="" id="{CB01CDBC-60A5-4306-9A46-DBBEB87EEE1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89" name="TextBox 1688">
          <a:extLst>
            <a:ext uri="{FF2B5EF4-FFF2-40B4-BE49-F238E27FC236}">
              <a16:creationId xmlns:a16="http://schemas.microsoft.com/office/drawing/2014/main" xmlns="" id="{D6D4C686-BAE4-47C9-A09B-25B033985E0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0" name="TextBox 1689">
          <a:extLst>
            <a:ext uri="{FF2B5EF4-FFF2-40B4-BE49-F238E27FC236}">
              <a16:creationId xmlns:a16="http://schemas.microsoft.com/office/drawing/2014/main" xmlns="" id="{EB58E9E7-B34F-4C09-8294-C2B0ACE1F1E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1" name="TextBox 1690">
          <a:extLst>
            <a:ext uri="{FF2B5EF4-FFF2-40B4-BE49-F238E27FC236}">
              <a16:creationId xmlns:a16="http://schemas.microsoft.com/office/drawing/2014/main" xmlns="" id="{C7356F75-2D94-4040-833D-3D69E6CE193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2" name="TextBox 1691">
          <a:extLst>
            <a:ext uri="{FF2B5EF4-FFF2-40B4-BE49-F238E27FC236}">
              <a16:creationId xmlns:a16="http://schemas.microsoft.com/office/drawing/2014/main" xmlns="" id="{66FCB97A-664C-46DB-A73B-2C95EBDCEB1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3" name="TextBox 1692">
          <a:extLst>
            <a:ext uri="{FF2B5EF4-FFF2-40B4-BE49-F238E27FC236}">
              <a16:creationId xmlns:a16="http://schemas.microsoft.com/office/drawing/2014/main" xmlns="" id="{3B20C323-5FEE-4BFF-9D1D-AC209A3098A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4" name="TextBox 1693">
          <a:extLst>
            <a:ext uri="{FF2B5EF4-FFF2-40B4-BE49-F238E27FC236}">
              <a16:creationId xmlns:a16="http://schemas.microsoft.com/office/drawing/2014/main" xmlns="" id="{954836EB-B239-4C47-9D95-2E17BDD7147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5" name="TextBox 1694">
          <a:extLst>
            <a:ext uri="{FF2B5EF4-FFF2-40B4-BE49-F238E27FC236}">
              <a16:creationId xmlns:a16="http://schemas.microsoft.com/office/drawing/2014/main" xmlns="" id="{E806D5AB-43DF-4E6B-9E9B-542F6CFC86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6" name="TextBox 1695">
          <a:extLst>
            <a:ext uri="{FF2B5EF4-FFF2-40B4-BE49-F238E27FC236}">
              <a16:creationId xmlns:a16="http://schemas.microsoft.com/office/drawing/2014/main" xmlns="" id="{C0BED6B2-08CE-4F16-B16B-E9FFBACCF7C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7" name="TextBox 1696">
          <a:extLst>
            <a:ext uri="{FF2B5EF4-FFF2-40B4-BE49-F238E27FC236}">
              <a16:creationId xmlns:a16="http://schemas.microsoft.com/office/drawing/2014/main" xmlns="" id="{05A71442-1DF5-4841-8571-DBDF254244B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8" name="TextBox 1697">
          <a:extLst>
            <a:ext uri="{FF2B5EF4-FFF2-40B4-BE49-F238E27FC236}">
              <a16:creationId xmlns:a16="http://schemas.microsoft.com/office/drawing/2014/main" xmlns="" id="{7A31C3A6-DD5F-42C9-A20D-76C78B5939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699" name="TextBox 1698">
          <a:extLst>
            <a:ext uri="{FF2B5EF4-FFF2-40B4-BE49-F238E27FC236}">
              <a16:creationId xmlns:a16="http://schemas.microsoft.com/office/drawing/2014/main" xmlns="" id="{A8396B2B-FCD8-4036-8A91-567DFA64472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0" name="TextBox 1699">
          <a:extLst>
            <a:ext uri="{FF2B5EF4-FFF2-40B4-BE49-F238E27FC236}">
              <a16:creationId xmlns:a16="http://schemas.microsoft.com/office/drawing/2014/main" xmlns="" id="{52C1EB38-CD80-4876-9C70-B29EDED809B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1" name="TextBox 1700">
          <a:extLst>
            <a:ext uri="{FF2B5EF4-FFF2-40B4-BE49-F238E27FC236}">
              <a16:creationId xmlns:a16="http://schemas.microsoft.com/office/drawing/2014/main" xmlns="" id="{2CEC6061-C2DB-4091-9E88-95AFE76264F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2" name="TextBox 1701">
          <a:extLst>
            <a:ext uri="{FF2B5EF4-FFF2-40B4-BE49-F238E27FC236}">
              <a16:creationId xmlns:a16="http://schemas.microsoft.com/office/drawing/2014/main" xmlns="" id="{632842AA-004F-45F8-8F64-4FB6B81B5C6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3" name="TextBox 1702">
          <a:extLst>
            <a:ext uri="{FF2B5EF4-FFF2-40B4-BE49-F238E27FC236}">
              <a16:creationId xmlns:a16="http://schemas.microsoft.com/office/drawing/2014/main" xmlns="" id="{931D2F1F-7B6B-4E25-A91F-B106119C1D7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4" name="TextBox 1703">
          <a:extLst>
            <a:ext uri="{FF2B5EF4-FFF2-40B4-BE49-F238E27FC236}">
              <a16:creationId xmlns:a16="http://schemas.microsoft.com/office/drawing/2014/main" xmlns="" id="{BF132CD1-6FF1-47E6-98F9-91D3B685A73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5" name="TextBox 1704">
          <a:extLst>
            <a:ext uri="{FF2B5EF4-FFF2-40B4-BE49-F238E27FC236}">
              <a16:creationId xmlns:a16="http://schemas.microsoft.com/office/drawing/2014/main" xmlns="" id="{128C7D0E-2220-4C35-A93A-5E9DA9FE867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6" name="TextBox 1705">
          <a:extLst>
            <a:ext uri="{FF2B5EF4-FFF2-40B4-BE49-F238E27FC236}">
              <a16:creationId xmlns:a16="http://schemas.microsoft.com/office/drawing/2014/main" xmlns="" id="{989256AE-F84D-44E8-BE25-9BD106CD596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7" name="TextBox 1706">
          <a:extLst>
            <a:ext uri="{FF2B5EF4-FFF2-40B4-BE49-F238E27FC236}">
              <a16:creationId xmlns:a16="http://schemas.microsoft.com/office/drawing/2014/main" xmlns="" id="{635640B3-659F-4732-B6E3-13F336FEBF7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8" name="TextBox 1707">
          <a:extLst>
            <a:ext uri="{FF2B5EF4-FFF2-40B4-BE49-F238E27FC236}">
              <a16:creationId xmlns:a16="http://schemas.microsoft.com/office/drawing/2014/main" xmlns="" id="{51F9249A-807C-4D47-BF89-A2423E604E7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09" name="TextBox 1708">
          <a:extLst>
            <a:ext uri="{FF2B5EF4-FFF2-40B4-BE49-F238E27FC236}">
              <a16:creationId xmlns:a16="http://schemas.microsoft.com/office/drawing/2014/main" xmlns="" id="{7F809345-5FEB-4787-A97D-1B896F22699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0" name="TextBox 1709">
          <a:extLst>
            <a:ext uri="{FF2B5EF4-FFF2-40B4-BE49-F238E27FC236}">
              <a16:creationId xmlns:a16="http://schemas.microsoft.com/office/drawing/2014/main" xmlns="" id="{232201D6-B5FC-4967-B5D5-AEEE080520D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1" name="TextBox 1710">
          <a:extLst>
            <a:ext uri="{FF2B5EF4-FFF2-40B4-BE49-F238E27FC236}">
              <a16:creationId xmlns:a16="http://schemas.microsoft.com/office/drawing/2014/main" xmlns="" id="{2CDBA552-55EB-4E18-9D21-3815911905E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2" name="TextBox 1711">
          <a:extLst>
            <a:ext uri="{FF2B5EF4-FFF2-40B4-BE49-F238E27FC236}">
              <a16:creationId xmlns:a16="http://schemas.microsoft.com/office/drawing/2014/main" xmlns="" id="{4525A3B1-9FB0-4A6B-A67C-E4BDE8C913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3" name="TextBox 1712">
          <a:extLst>
            <a:ext uri="{FF2B5EF4-FFF2-40B4-BE49-F238E27FC236}">
              <a16:creationId xmlns:a16="http://schemas.microsoft.com/office/drawing/2014/main" xmlns="" id="{AA0E9074-D3EF-4972-A67D-97CF38C83F8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4" name="TextBox 1713">
          <a:extLst>
            <a:ext uri="{FF2B5EF4-FFF2-40B4-BE49-F238E27FC236}">
              <a16:creationId xmlns:a16="http://schemas.microsoft.com/office/drawing/2014/main" xmlns="" id="{2927357D-EDE0-46B4-B854-F995D13FA04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5" name="TextBox 1714">
          <a:extLst>
            <a:ext uri="{FF2B5EF4-FFF2-40B4-BE49-F238E27FC236}">
              <a16:creationId xmlns:a16="http://schemas.microsoft.com/office/drawing/2014/main" xmlns="" id="{467D1CC3-3BDC-4101-A0CF-AF15F68CB5C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6" name="TextBox 1715">
          <a:extLst>
            <a:ext uri="{FF2B5EF4-FFF2-40B4-BE49-F238E27FC236}">
              <a16:creationId xmlns:a16="http://schemas.microsoft.com/office/drawing/2014/main" xmlns="" id="{D421717F-07DD-4D40-8152-80EFAB26DBD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7" name="TextBox 1716">
          <a:extLst>
            <a:ext uri="{FF2B5EF4-FFF2-40B4-BE49-F238E27FC236}">
              <a16:creationId xmlns:a16="http://schemas.microsoft.com/office/drawing/2014/main" xmlns="" id="{9BDD9ABE-9DFE-467C-9A98-49BD34E331C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8" name="TextBox 1717">
          <a:extLst>
            <a:ext uri="{FF2B5EF4-FFF2-40B4-BE49-F238E27FC236}">
              <a16:creationId xmlns:a16="http://schemas.microsoft.com/office/drawing/2014/main" xmlns="" id="{664E14DC-EF3E-45E3-8557-26414D27F84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19" name="TextBox 1718">
          <a:extLst>
            <a:ext uri="{FF2B5EF4-FFF2-40B4-BE49-F238E27FC236}">
              <a16:creationId xmlns:a16="http://schemas.microsoft.com/office/drawing/2014/main" xmlns="" id="{CA2FDBA1-74D2-4705-9152-8E89583A03E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0" name="TextBox 1719">
          <a:extLst>
            <a:ext uri="{FF2B5EF4-FFF2-40B4-BE49-F238E27FC236}">
              <a16:creationId xmlns:a16="http://schemas.microsoft.com/office/drawing/2014/main" xmlns="" id="{D8291B8E-AED3-4800-848E-878691CD7F0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1" name="TextBox 1720">
          <a:extLst>
            <a:ext uri="{FF2B5EF4-FFF2-40B4-BE49-F238E27FC236}">
              <a16:creationId xmlns:a16="http://schemas.microsoft.com/office/drawing/2014/main" xmlns="" id="{BA7091FB-4932-4146-B22F-4EE65443C6C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2" name="TextBox 1721">
          <a:extLst>
            <a:ext uri="{FF2B5EF4-FFF2-40B4-BE49-F238E27FC236}">
              <a16:creationId xmlns:a16="http://schemas.microsoft.com/office/drawing/2014/main" xmlns="" id="{5A3DD8FC-1F82-4992-BF28-262A7346DC9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3" name="TextBox 1722">
          <a:extLst>
            <a:ext uri="{FF2B5EF4-FFF2-40B4-BE49-F238E27FC236}">
              <a16:creationId xmlns:a16="http://schemas.microsoft.com/office/drawing/2014/main" xmlns="" id="{42AE32AB-DBCC-4874-B1C5-8D38616BA5B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4" name="TextBox 1723">
          <a:extLst>
            <a:ext uri="{FF2B5EF4-FFF2-40B4-BE49-F238E27FC236}">
              <a16:creationId xmlns:a16="http://schemas.microsoft.com/office/drawing/2014/main" xmlns="" id="{B0491FA0-E48C-4CF3-93F9-8E26BCE79F9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5" name="TextBox 1724">
          <a:extLst>
            <a:ext uri="{FF2B5EF4-FFF2-40B4-BE49-F238E27FC236}">
              <a16:creationId xmlns:a16="http://schemas.microsoft.com/office/drawing/2014/main" xmlns="" id="{FB245662-309B-4E6A-9222-92468D18FFF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6" name="TextBox 1725">
          <a:extLst>
            <a:ext uri="{FF2B5EF4-FFF2-40B4-BE49-F238E27FC236}">
              <a16:creationId xmlns:a16="http://schemas.microsoft.com/office/drawing/2014/main" xmlns="" id="{37B0B637-A13F-4D63-AA5B-83EE2FC25F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7" name="TextBox 1726">
          <a:extLst>
            <a:ext uri="{FF2B5EF4-FFF2-40B4-BE49-F238E27FC236}">
              <a16:creationId xmlns:a16="http://schemas.microsoft.com/office/drawing/2014/main" xmlns="" id="{48F16735-820F-4032-BF4F-68C38AA30FC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8" name="TextBox 1727">
          <a:extLst>
            <a:ext uri="{FF2B5EF4-FFF2-40B4-BE49-F238E27FC236}">
              <a16:creationId xmlns:a16="http://schemas.microsoft.com/office/drawing/2014/main" xmlns="" id="{8DECC529-EE4D-49E0-B0FB-85EF48439E3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29" name="TextBox 1728">
          <a:extLst>
            <a:ext uri="{FF2B5EF4-FFF2-40B4-BE49-F238E27FC236}">
              <a16:creationId xmlns:a16="http://schemas.microsoft.com/office/drawing/2014/main" xmlns="" id="{01FB3284-DF35-4D47-9B00-88B78ABA0F2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0" name="TextBox 1729">
          <a:extLst>
            <a:ext uri="{FF2B5EF4-FFF2-40B4-BE49-F238E27FC236}">
              <a16:creationId xmlns:a16="http://schemas.microsoft.com/office/drawing/2014/main" xmlns="" id="{A930A83C-22BD-44CF-9E2F-B8AB26E9C06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1" name="TextBox 1730">
          <a:extLst>
            <a:ext uri="{FF2B5EF4-FFF2-40B4-BE49-F238E27FC236}">
              <a16:creationId xmlns:a16="http://schemas.microsoft.com/office/drawing/2014/main" xmlns="" id="{6B03D63F-0CD2-45E4-A332-23A44046A73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2" name="TextBox 1731">
          <a:extLst>
            <a:ext uri="{FF2B5EF4-FFF2-40B4-BE49-F238E27FC236}">
              <a16:creationId xmlns:a16="http://schemas.microsoft.com/office/drawing/2014/main" xmlns="" id="{54BF2FFE-C062-46E3-B26B-FF2B70AEE98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3" name="TextBox 1732">
          <a:extLst>
            <a:ext uri="{FF2B5EF4-FFF2-40B4-BE49-F238E27FC236}">
              <a16:creationId xmlns:a16="http://schemas.microsoft.com/office/drawing/2014/main" xmlns="" id="{35F7BC06-42F7-4EFF-BE7F-0F8AEA0D086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4" name="TextBox 1733">
          <a:extLst>
            <a:ext uri="{FF2B5EF4-FFF2-40B4-BE49-F238E27FC236}">
              <a16:creationId xmlns:a16="http://schemas.microsoft.com/office/drawing/2014/main" xmlns="" id="{507B3B08-9230-4643-82F7-A91407BFB63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5" name="TextBox 1734">
          <a:extLst>
            <a:ext uri="{FF2B5EF4-FFF2-40B4-BE49-F238E27FC236}">
              <a16:creationId xmlns:a16="http://schemas.microsoft.com/office/drawing/2014/main" xmlns="" id="{63713D4A-7EB1-440F-93BC-F267418F78B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6" name="TextBox 1735">
          <a:extLst>
            <a:ext uri="{FF2B5EF4-FFF2-40B4-BE49-F238E27FC236}">
              <a16:creationId xmlns:a16="http://schemas.microsoft.com/office/drawing/2014/main" xmlns="" id="{932EED56-E086-4C63-A983-837132991F4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7" name="TextBox 1736">
          <a:extLst>
            <a:ext uri="{FF2B5EF4-FFF2-40B4-BE49-F238E27FC236}">
              <a16:creationId xmlns:a16="http://schemas.microsoft.com/office/drawing/2014/main" xmlns="" id="{8018FC5B-69D5-4DC0-9253-767E691EE18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8" name="TextBox 1737">
          <a:extLst>
            <a:ext uri="{FF2B5EF4-FFF2-40B4-BE49-F238E27FC236}">
              <a16:creationId xmlns:a16="http://schemas.microsoft.com/office/drawing/2014/main" xmlns="" id="{8CB6D980-1707-49BE-BC65-A191A375FA1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39" name="TextBox 1738">
          <a:extLst>
            <a:ext uri="{FF2B5EF4-FFF2-40B4-BE49-F238E27FC236}">
              <a16:creationId xmlns:a16="http://schemas.microsoft.com/office/drawing/2014/main" xmlns="" id="{60960F7B-22FC-4975-9F3D-B9AEE9FCE9F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0" name="TextBox 1739">
          <a:extLst>
            <a:ext uri="{FF2B5EF4-FFF2-40B4-BE49-F238E27FC236}">
              <a16:creationId xmlns:a16="http://schemas.microsoft.com/office/drawing/2014/main" xmlns="" id="{8D53F4D6-D1B9-44E3-8870-47C3F7FEB2B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1" name="TextBox 1740">
          <a:extLst>
            <a:ext uri="{FF2B5EF4-FFF2-40B4-BE49-F238E27FC236}">
              <a16:creationId xmlns:a16="http://schemas.microsoft.com/office/drawing/2014/main" xmlns="" id="{D16477D2-160C-4E12-8AAE-0D22D89A693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2" name="TextBox 1741">
          <a:extLst>
            <a:ext uri="{FF2B5EF4-FFF2-40B4-BE49-F238E27FC236}">
              <a16:creationId xmlns:a16="http://schemas.microsoft.com/office/drawing/2014/main" xmlns="" id="{4C6BEF49-857B-45CF-B1DC-ED680072C83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3" name="TextBox 1742">
          <a:extLst>
            <a:ext uri="{FF2B5EF4-FFF2-40B4-BE49-F238E27FC236}">
              <a16:creationId xmlns:a16="http://schemas.microsoft.com/office/drawing/2014/main" xmlns="" id="{DD3301CD-AE98-4D92-8EEB-0445A477C06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4" name="TextBox 1743">
          <a:extLst>
            <a:ext uri="{FF2B5EF4-FFF2-40B4-BE49-F238E27FC236}">
              <a16:creationId xmlns:a16="http://schemas.microsoft.com/office/drawing/2014/main" xmlns="" id="{F58BA73B-6A35-4400-8B45-10D981ACE4B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5" name="TextBox 1744">
          <a:extLst>
            <a:ext uri="{FF2B5EF4-FFF2-40B4-BE49-F238E27FC236}">
              <a16:creationId xmlns:a16="http://schemas.microsoft.com/office/drawing/2014/main" xmlns="" id="{2F4DADA5-804C-44CD-90DF-C5C2ECF2F54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6" name="TextBox 1745">
          <a:extLst>
            <a:ext uri="{FF2B5EF4-FFF2-40B4-BE49-F238E27FC236}">
              <a16:creationId xmlns:a16="http://schemas.microsoft.com/office/drawing/2014/main" xmlns="" id="{E5EB6224-3096-439C-AD84-1808C96F353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7" name="TextBox 1746">
          <a:extLst>
            <a:ext uri="{FF2B5EF4-FFF2-40B4-BE49-F238E27FC236}">
              <a16:creationId xmlns:a16="http://schemas.microsoft.com/office/drawing/2014/main" xmlns="" id="{672C11F9-3FBB-4399-B8D6-4BA6CA7CE62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8" name="TextBox 1747">
          <a:extLst>
            <a:ext uri="{FF2B5EF4-FFF2-40B4-BE49-F238E27FC236}">
              <a16:creationId xmlns:a16="http://schemas.microsoft.com/office/drawing/2014/main" xmlns="" id="{066793F8-7232-414E-AF5C-3A2E6F88C12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49" name="TextBox 1748">
          <a:extLst>
            <a:ext uri="{FF2B5EF4-FFF2-40B4-BE49-F238E27FC236}">
              <a16:creationId xmlns:a16="http://schemas.microsoft.com/office/drawing/2014/main" xmlns="" id="{1C9037F7-7635-4380-9884-A22F2BDCBDC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0" name="TextBox 1749">
          <a:extLst>
            <a:ext uri="{FF2B5EF4-FFF2-40B4-BE49-F238E27FC236}">
              <a16:creationId xmlns:a16="http://schemas.microsoft.com/office/drawing/2014/main" xmlns="" id="{891C41D5-AC78-46D5-A2FD-1BBD71F1B87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1" name="TextBox 1750">
          <a:extLst>
            <a:ext uri="{FF2B5EF4-FFF2-40B4-BE49-F238E27FC236}">
              <a16:creationId xmlns:a16="http://schemas.microsoft.com/office/drawing/2014/main" xmlns="" id="{770B11C1-AC03-4EA8-9D09-4FE3D3E56B0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2" name="TextBox 1751">
          <a:extLst>
            <a:ext uri="{FF2B5EF4-FFF2-40B4-BE49-F238E27FC236}">
              <a16:creationId xmlns:a16="http://schemas.microsoft.com/office/drawing/2014/main" xmlns="" id="{37F36B0C-3CAC-430C-928C-34B0E81E52C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3" name="TextBox 1752">
          <a:extLst>
            <a:ext uri="{FF2B5EF4-FFF2-40B4-BE49-F238E27FC236}">
              <a16:creationId xmlns:a16="http://schemas.microsoft.com/office/drawing/2014/main" xmlns="" id="{AEEF1A9E-B3A3-475F-8235-50354E3DB17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4" name="TextBox 1753">
          <a:extLst>
            <a:ext uri="{FF2B5EF4-FFF2-40B4-BE49-F238E27FC236}">
              <a16:creationId xmlns:a16="http://schemas.microsoft.com/office/drawing/2014/main" xmlns="" id="{365DAC96-555C-43CF-9A92-5A39AB4298C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5" name="TextBox 1754">
          <a:extLst>
            <a:ext uri="{FF2B5EF4-FFF2-40B4-BE49-F238E27FC236}">
              <a16:creationId xmlns:a16="http://schemas.microsoft.com/office/drawing/2014/main" xmlns="" id="{9ED12971-B2E9-40EE-AE52-20A7C078730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6" name="TextBox 1755">
          <a:extLst>
            <a:ext uri="{FF2B5EF4-FFF2-40B4-BE49-F238E27FC236}">
              <a16:creationId xmlns:a16="http://schemas.microsoft.com/office/drawing/2014/main" xmlns="" id="{835AAEAB-6BD1-46DF-BAE9-5B784159BBD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7" name="TextBox 1756">
          <a:extLst>
            <a:ext uri="{FF2B5EF4-FFF2-40B4-BE49-F238E27FC236}">
              <a16:creationId xmlns:a16="http://schemas.microsoft.com/office/drawing/2014/main" xmlns="" id="{7E697876-CFDC-4EC8-B920-A0F35ECD08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8" name="TextBox 1757">
          <a:extLst>
            <a:ext uri="{FF2B5EF4-FFF2-40B4-BE49-F238E27FC236}">
              <a16:creationId xmlns:a16="http://schemas.microsoft.com/office/drawing/2014/main" xmlns="" id="{185947B1-F949-49A6-B892-E8E6CAAABDC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59" name="TextBox 1758">
          <a:extLst>
            <a:ext uri="{FF2B5EF4-FFF2-40B4-BE49-F238E27FC236}">
              <a16:creationId xmlns:a16="http://schemas.microsoft.com/office/drawing/2014/main" xmlns="" id="{4CE5E84C-8F16-4162-BB98-1B0DD6A7A7E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0" name="TextBox 1759">
          <a:extLst>
            <a:ext uri="{FF2B5EF4-FFF2-40B4-BE49-F238E27FC236}">
              <a16:creationId xmlns:a16="http://schemas.microsoft.com/office/drawing/2014/main" xmlns="" id="{876D17B0-04F2-4CFD-A1AF-CA09ED0BD97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1" name="TextBox 1760">
          <a:extLst>
            <a:ext uri="{FF2B5EF4-FFF2-40B4-BE49-F238E27FC236}">
              <a16:creationId xmlns:a16="http://schemas.microsoft.com/office/drawing/2014/main" xmlns="" id="{82E1CEF5-31F9-4378-8F41-93FCA639A7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2" name="TextBox 1761">
          <a:extLst>
            <a:ext uri="{FF2B5EF4-FFF2-40B4-BE49-F238E27FC236}">
              <a16:creationId xmlns:a16="http://schemas.microsoft.com/office/drawing/2014/main" xmlns="" id="{8F6C5F91-0DB6-469D-8A0C-7D55596377E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3" name="TextBox 1762">
          <a:extLst>
            <a:ext uri="{FF2B5EF4-FFF2-40B4-BE49-F238E27FC236}">
              <a16:creationId xmlns:a16="http://schemas.microsoft.com/office/drawing/2014/main" xmlns="" id="{6C9BD79C-1975-40B3-BCE7-29CA79D8187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4" name="TextBox 1763">
          <a:extLst>
            <a:ext uri="{FF2B5EF4-FFF2-40B4-BE49-F238E27FC236}">
              <a16:creationId xmlns:a16="http://schemas.microsoft.com/office/drawing/2014/main" xmlns="" id="{69AC3F46-4F36-4FFA-9DCE-0CBDC4E059F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5" name="TextBox 1764">
          <a:extLst>
            <a:ext uri="{FF2B5EF4-FFF2-40B4-BE49-F238E27FC236}">
              <a16:creationId xmlns:a16="http://schemas.microsoft.com/office/drawing/2014/main" xmlns="" id="{305F5366-2C3E-45C0-9490-BC9B0ED71D6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6" name="TextBox 1765">
          <a:extLst>
            <a:ext uri="{FF2B5EF4-FFF2-40B4-BE49-F238E27FC236}">
              <a16:creationId xmlns:a16="http://schemas.microsoft.com/office/drawing/2014/main" xmlns="" id="{F1EF12B6-5D6D-4967-B2C3-461F56DA27E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7" name="TextBox 1766">
          <a:extLst>
            <a:ext uri="{FF2B5EF4-FFF2-40B4-BE49-F238E27FC236}">
              <a16:creationId xmlns:a16="http://schemas.microsoft.com/office/drawing/2014/main" xmlns="" id="{570EEC99-D245-4621-B905-C097CBE8B8A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8" name="TextBox 1767">
          <a:extLst>
            <a:ext uri="{FF2B5EF4-FFF2-40B4-BE49-F238E27FC236}">
              <a16:creationId xmlns:a16="http://schemas.microsoft.com/office/drawing/2014/main" xmlns="" id="{E31C3AA7-C1A3-4888-88EE-CEE4D9547FD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69" name="TextBox 1768">
          <a:extLst>
            <a:ext uri="{FF2B5EF4-FFF2-40B4-BE49-F238E27FC236}">
              <a16:creationId xmlns:a16="http://schemas.microsoft.com/office/drawing/2014/main" xmlns="" id="{48CFC311-6090-431A-A13A-DD220C1DA3A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0" name="TextBox 1769">
          <a:extLst>
            <a:ext uri="{FF2B5EF4-FFF2-40B4-BE49-F238E27FC236}">
              <a16:creationId xmlns:a16="http://schemas.microsoft.com/office/drawing/2014/main" xmlns="" id="{E4E75DC3-83A4-4C9F-B4A5-91A77EAD4A6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1" name="TextBox 1770">
          <a:extLst>
            <a:ext uri="{FF2B5EF4-FFF2-40B4-BE49-F238E27FC236}">
              <a16:creationId xmlns:a16="http://schemas.microsoft.com/office/drawing/2014/main" xmlns="" id="{A779B48A-F336-4982-9C76-DCBF248106A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2" name="TextBox 1771">
          <a:extLst>
            <a:ext uri="{FF2B5EF4-FFF2-40B4-BE49-F238E27FC236}">
              <a16:creationId xmlns:a16="http://schemas.microsoft.com/office/drawing/2014/main" xmlns="" id="{77A13476-0E5A-437E-9B0B-384B2529B42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3" name="TextBox 1772">
          <a:extLst>
            <a:ext uri="{FF2B5EF4-FFF2-40B4-BE49-F238E27FC236}">
              <a16:creationId xmlns:a16="http://schemas.microsoft.com/office/drawing/2014/main" xmlns="" id="{014EC6C2-3201-4407-92E3-87399F3B1A3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4" name="TextBox 1773">
          <a:extLst>
            <a:ext uri="{FF2B5EF4-FFF2-40B4-BE49-F238E27FC236}">
              <a16:creationId xmlns:a16="http://schemas.microsoft.com/office/drawing/2014/main" xmlns="" id="{0D43D27D-92B3-4934-8E92-6EA04B046D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5" name="TextBox 1774">
          <a:extLst>
            <a:ext uri="{FF2B5EF4-FFF2-40B4-BE49-F238E27FC236}">
              <a16:creationId xmlns:a16="http://schemas.microsoft.com/office/drawing/2014/main" xmlns="" id="{2B730B45-236A-4489-AE79-45FEDB23AE9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6" name="TextBox 1775">
          <a:extLst>
            <a:ext uri="{FF2B5EF4-FFF2-40B4-BE49-F238E27FC236}">
              <a16:creationId xmlns:a16="http://schemas.microsoft.com/office/drawing/2014/main" xmlns="" id="{8F93C95A-D441-4698-99A4-04CC0960484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7" name="TextBox 1776">
          <a:extLst>
            <a:ext uri="{FF2B5EF4-FFF2-40B4-BE49-F238E27FC236}">
              <a16:creationId xmlns:a16="http://schemas.microsoft.com/office/drawing/2014/main" xmlns="" id="{3EE51894-A278-4873-99A7-9713FCAA1CF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8" name="TextBox 1777">
          <a:extLst>
            <a:ext uri="{FF2B5EF4-FFF2-40B4-BE49-F238E27FC236}">
              <a16:creationId xmlns:a16="http://schemas.microsoft.com/office/drawing/2014/main" xmlns="" id="{7133FE4C-C456-44A0-9F81-7FF268F4838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79" name="TextBox 1778">
          <a:extLst>
            <a:ext uri="{FF2B5EF4-FFF2-40B4-BE49-F238E27FC236}">
              <a16:creationId xmlns:a16="http://schemas.microsoft.com/office/drawing/2014/main" xmlns="" id="{2B9849C6-79D8-4C04-AFBF-8C315B7E9CC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0" name="TextBox 1779">
          <a:extLst>
            <a:ext uri="{FF2B5EF4-FFF2-40B4-BE49-F238E27FC236}">
              <a16:creationId xmlns:a16="http://schemas.microsoft.com/office/drawing/2014/main" xmlns="" id="{E3E7C512-95DB-4AC0-9B77-DF0C0AEB15F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1" name="TextBox 1780">
          <a:extLst>
            <a:ext uri="{FF2B5EF4-FFF2-40B4-BE49-F238E27FC236}">
              <a16:creationId xmlns:a16="http://schemas.microsoft.com/office/drawing/2014/main" xmlns="" id="{4DCE34BE-3912-4A9B-931C-56FA2D14B31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2" name="TextBox 1781">
          <a:extLst>
            <a:ext uri="{FF2B5EF4-FFF2-40B4-BE49-F238E27FC236}">
              <a16:creationId xmlns:a16="http://schemas.microsoft.com/office/drawing/2014/main" xmlns="" id="{DF42902A-B85A-458C-B8C7-A28B2AC60E4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3" name="TextBox 1782">
          <a:extLst>
            <a:ext uri="{FF2B5EF4-FFF2-40B4-BE49-F238E27FC236}">
              <a16:creationId xmlns:a16="http://schemas.microsoft.com/office/drawing/2014/main" xmlns="" id="{8CDFE370-4E4E-41C0-8B9B-9F36D8E8A5C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4" name="TextBox 1783">
          <a:extLst>
            <a:ext uri="{FF2B5EF4-FFF2-40B4-BE49-F238E27FC236}">
              <a16:creationId xmlns:a16="http://schemas.microsoft.com/office/drawing/2014/main" xmlns="" id="{1913E326-1C4B-4C56-AEF0-44D727D9E29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5" name="TextBox 1784">
          <a:extLst>
            <a:ext uri="{FF2B5EF4-FFF2-40B4-BE49-F238E27FC236}">
              <a16:creationId xmlns:a16="http://schemas.microsoft.com/office/drawing/2014/main" xmlns="" id="{13583AA9-A975-4280-A271-229E5A49B03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6" name="TextBox 1785">
          <a:extLst>
            <a:ext uri="{FF2B5EF4-FFF2-40B4-BE49-F238E27FC236}">
              <a16:creationId xmlns:a16="http://schemas.microsoft.com/office/drawing/2014/main" xmlns="" id="{7E094209-5A0F-4AE1-B9A6-BAB2D5765EA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7" name="TextBox 1786">
          <a:extLst>
            <a:ext uri="{FF2B5EF4-FFF2-40B4-BE49-F238E27FC236}">
              <a16:creationId xmlns:a16="http://schemas.microsoft.com/office/drawing/2014/main" xmlns="" id="{A72C89E1-765B-4183-9011-4861CEB78CB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8" name="TextBox 1787">
          <a:extLst>
            <a:ext uri="{FF2B5EF4-FFF2-40B4-BE49-F238E27FC236}">
              <a16:creationId xmlns:a16="http://schemas.microsoft.com/office/drawing/2014/main" xmlns="" id="{C9EA640F-D306-425A-9DAE-9E18A7EA2A5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89" name="TextBox 1788">
          <a:extLst>
            <a:ext uri="{FF2B5EF4-FFF2-40B4-BE49-F238E27FC236}">
              <a16:creationId xmlns:a16="http://schemas.microsoft.com/office/drawing/2014/main" xmlns="" id="{28B30512-3C92-41B0-8FF7-44439754858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0" name="TextBox 1789">
          <a:extLst>
            <a:ext uri="{FF2B5EF4-FFF2-40B4-BE49-F238E27FC236}">
              <a16:creationId xmlns:a16="http://schemas.microsoft.com/office/drawing/2014/main" xmlns="" id="{FCC0BE1F-8A55-47CF-B89D-EE34925BDAF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1" name="TextBox 1790">
          <a:extLst>
            <a:ext uri="{FF2B5EF4-FFF2-40B4-BE49-F238E27FC236}">
              <a16:creationId xmlns:a16="http://schemas.microsoft.com/office/drawing/2014/main" xmlns="" id="{DE226878-9CF6-428E-AC79-03E9E9E775C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2" name="TextBox 1791">
          <a:extLst>
            <a:ext uri="{FF2B5EF4-FFF2-40B4-BE49-F238E27FC236}">
              <a16:creationId xmlns:a16="http://schemas.microsoft.com/office/drawing/2014/main" xmlns="" id="{EDFB8488-2002-4766-83CE-64218D413A3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3" name="TextBox 1792">
          <a:extLst>
            <a:ext uri="{FF2B5EF4-FFF2-40B4-BE49-F238E27FC236}">
              <a16:creationId xmlns:a16="http://schemas.microsoft.com/office/drawing/2014/main" xmlns="" id="{A026D82F-4FC7-4008-B54D-4BDE1D2FF02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4" name="TextBox 1793">
          <a:extLst>
            <a:ext uri="{FF2B5EF4-FFF2-40B4-BE49-F238E27FC236}">
              <a16:creationId xmlns:a16="http://schemas.microsoft.com/office/drawing/2014/main" xmlns="" id="{25EC6BF3-302B-4F2F-8445-B24E3D7FE4F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5" name="TextBox 1794">
          <a:extLst>
            <a:ext uri="{FF2B5EF4-FFF2-40B4-BE49-F238E27FC236}">
              <a16:creationId xmlns:a16="http://schemas.microsoft.com/office/drawing/2014/main" xmlns="" id="{33A1091B-7835-4B45-A281-EDDEF5A09AF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6" name="TextBox 1795">
          <a:extLst>
            <a:ext uri="{FF2B5EF4-FFF2-40B4-BE49-F238E27FC236}">
              <a16:creationId xmlns:a16="http://schemas.microsoft.com/office/drawing/2014/main" xmlns="" id="{C3450B1B-80C0-4D17-BAB8-8FD33ABCAE3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7" name="TextBox 1796">
          <a:extLst>
            <a:ext uri="{FF2B5EF4-FFF2-40B4-BE49-F238E27FC236}">
              <a16:creationId xmlns:a16="http://schemas.microsoft.com/office/drawing/2014/main" xmlns="" id="{521AABC6-8CCB-44B0-A213-6EA35DC10B3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8" name="TextBox 1797">
          <a:extLst>
            <a:ext uri="{FF2B5EF4-FFF2-40B4-BE49-F238E27FC236}">
              <a16:creationId xmlns:a16="http://schemas.microsoft.com/office/drawing/2014/main" xmlns="" id="{7DEFF0CC-A782-4139-95FF-0E10FCA55F8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799" name="TextBox 1798">
          <a:extLst>
            <a:ext uri="{FF2B5EF4-FFF2-40B4-BE49-F238E27FC236}">
              <a16:creationId xmlns:a16="http://schemas.microsoft.com/office/drawing/2014/main" xmlns="" id="{AD00800F-FCD4-4119-A718-29424BEFE8D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0" name="TextBox 1799">
          <a:extLst>
            <a:ext uri="{FF2B5EF4-FFF2-40B4-BE49-F238E27FC236}">
              <a16:creationId xmlns:a16="http://schemas.microsoft.com/office/drawing/2014/main" xmlns="" id="{47C2FAEA-A5C7-48A7-8474-D8584C8EF0F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1" name="TextBox 1800">
          <a:extLst>
            <a:ext uri="{FF2B5EF4-FFF2-40B4-BE49-F238E27FC236}">
              <a16:creationId xmlns:a16="http://schemas.microsoft.com/office/drawing/2014/main" xmlns="" id="{3014EFFD-4EF7-4BCC-A2D3-3232373E18D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2" name="TextBox 1801">
          <a:extLst>
            <a:ext uri="{FF2B5EF4-FFF2-40B4-BE49-F238E27FC236}">
              <a16:creationId xmlns:a16="http://schemas.microsoft.com/office/drawing/2014/main" xmlns="" id="{F4DBEF81-A090-4673-9149-50896E4A268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3" name="TextBox 1802">
          <a:extLst>
            <a:ext uri="{FF2B5EF4-FFF2-40B4-BE49-F238E27FC236}">
              <a16:creationId xmlns:a16="http://schemas.microsoft.com/office/drawing/2014/main" xmlns="" id="{E1B35781-49F4-46D1-83DA-F608E0D30F3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4" name="TextBox 1803">
          <a:extLst>
            <a:ext uri="{FF2B5EF4-FFF2-40B4-BE49-F238E27FC236}">
              <a16:creationId xmlns:a16="http://schemas.microsoft.com/office/drawing/2014/main" xmlns="" id="{8F2B9237-D7F0-4E3B-B524-A523F6327FC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5" name="TextBox 1804">
          <a:extLst>
            <a:ext uri="{FF2B5EF4-FFF2-40B4-BE49-F238E27FC236}">
              <a16:creationId xmlns:a16="http://schemas.microsoft.com/office/drawing/2014/main" xmlns="" id="{924D33B8-9708-4AC5-97DF-8C2A02BE215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6" name="TextBox 1805">
          <a:extLst>
            <a:ext uri="{FF2B5EF4-FFF2-40B4-BE49-F238E27FC236}">
              <a16:creationId xmlns:a16="http://schemas.microsoft.com/office/drawing/2014/main" xmlns="" id="{FF2BA9C2-39DD-4666-B10B-45075159F8E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7" name="TextBox 1806">
          <a:extLst>
            <a:ext uri="{FF2B5EF4-FFF2-40B4-BE49-F238E27FC236}">
              <a16:creationId xmlns:a16="http://schemas.microsoft.com/office/drawing/2014/main" xmlns="" id="{289EE965-E17E-4EE8-8146-B25E567B834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8" name="TextBox 1807">
          <a:extLst>
            <a:ext uri="{FF2B5EF4-FFF2-40B4-BE49-F238E27FC236}">
              <a16:creationId xmlns:a16="http://schemas.microsoft.com/office/drawing/2014/main" xmlns="" id="{5AF3AE22-4F07-4EF2-A53D-07A49A1B9C4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09" name="TextBox 1808">
          <a:extLst>
            <a:ext uri="{FF2B5EF4-FFF2-40B4-BE49-F238E27FC236}">
              <a16:creationId xmlns:a16="http://schemas.microsoft.com/office/drawing/2014/main" xmlns="" id="{D02B6B20-FE31-4ED6-8E08-4472D638FE4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0" name="TextBox 1809">
          <a:extLst>
            <a:ext uri="{FF2B5EF4-FFF2-40B4-BE49-F238E27FC236}">
              <a16:creationId xmlns:a16="http://schemas.microsoft.com/office/drawing/2014/main" xmlns="" id="{304580D3-3F98-444E-AD2F-33F6089E6F3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1" name="TextBox 1810">
          <a:extLst>
            <a:ext uri="{FF2B5EF4-FFF2-40B4-BE49-F238E27FC236}">
              <a16:creationId xmlns:a16="http://schemas.microsoft.com/office/drawing/2014/main" xmlns="" id="{2CBF9627-E71D-4102-A3C2-919473D15B4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2" name="TextBox 1811">
          <a:extLst>
            <a:ext uri="{FF2B5EF4-FFF2-40B4-BE49-F238E27FC236}">
              <a16:creationId xmlns:a16="http://schemas.microsoft.com/office/drawing/2014/main" xmlns="" id="{9177EF49-9D0E-4510-850C-B89423C4200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3" name="TextBox 1812">
          <a:extLst>
            <a:ext uri="{FF2B5EF4-FFF2-40B4-BE49-F238E27FC236}">
              <a16:creationId xmlns:a16="http://schemas.microsoft.com/office/drawing/2014/main" xmlns="" id="{5DDE5103-FF30-4A08-AC00-81D3AF83817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4" name="TextBox 1813">
          <a:extLst>
            <a:ext uri="{FF2B5EF4-FFF2-40B4-BE49-F238E27FC236}">
              <a16:creationId xmlns:a16="http://schemas.microsoft.com/office/drawing/2014/main" xmlns="" id="{F4CE1677-B269-4FEA-8384-F56821B789B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5" name="TextBox 1814">
          <a:extLst>
            <a:ext uri="{FF2B5EF4-FFF2-40B4-BE49-F238E27FC236}">
              <a16:creationId xmlns:a16="http://schemas.microsoft.com/office/drawing/2014/main" xmlns="" id="{4D41060F-1252-427A-BF93-67B7AF3AAD1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6" name="TextBox 1815">
          <a:extLst>
            <a:ext uri="{FF2B5EF4-FFF2-40B4-BE49-F238E27FC236}">
              <a16:creationId xmlns:a16="http://schemas.microsoft.com/office/drawing/2014/main" xmlns="" id="{A6ED507A-366C-4AD3-A8CB-73BD5E70C9F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7" name="TextBox 1816">
          <a:extLst>
            <a:ext uri="{FF2B5EF4-FFF2-40B4-BE49-F238E27FC236}">
              <a16:creationId xmlns:a16="http://schemas.microsoft.com/office/drawing/2014/main" xmlns="" id="{78505692-F2E6-4F68-BC95-CBB1E697CFA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8" name="TextBox 1817">
          <a:extLst>
            <a:ext uri="{FF2B5EF4-FFF2-40B4-BE49-F238E27FC236}">
              <a16:creationId xmlns:a16="http://schemas.microsoft.com/office/drawing/2014/main" xmlns="" id="{68B4A99C-47E0-4E32-BBFB-83484CB8497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19" name="TextBox 1818">
          <a:extLst>
            <a:ext uri="{FF2B5EF4-FFF2-40B4-BE49-F238E27FC236}">
              <a16:creationId xmlns:a16="http://schemas.microsoft.com/office/drawing/2014/main" xmlns="" id="{807181F3-3C90-4F3B-A2E4-06730604198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0" name="TextBox 1819">
          <a:extLst>
            <a:ext uri="{FF2B5EF4-FFF2-40B4-BE49-F238E27FC236}">
              <a16:creationId xmlns:a16="http://schemas.microsoft.com/office/drawing/2014/main" xmlns="" id="{9D485C77-D6C6-4F73-BA76-5B45FC2D54C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1" name="TextBox 1820">
          <a:extLst>
            <a:ext uri="{FF2B5EF4-FFF2-40B4-BE49-F238E27FC236}">
              <a16:creationId xmlns:a16="http://schemas.microsoft.com/office/drawing/2014/main" xmlns="" id="{814BD0DF-245A-4FC3-822A-92EF7E1C7FE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2" name="TextBox 1821">
          <a:extLst>
            <a:ext uri="{FF2B5EF4-FFF2-40B4-BE49-F238E27FC236}">
              <a16:creationId xmlns:a16="http://schemas.microsoft.com/office/drawing/2014/main" xmlns="" id="{6EB2DBBF-E3ED-4591-BE8E-5D5DDBE0ADE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3" name="TextBox 1822">
          <a:extLst>
            <a:ext uri="{FF2B5EF4-FFF2-40B4-BE49-F238E27FC236}">
              <a16:creationId xmlns:a16="http://schemas.microsoft.com/office/drawing/2014/main" xmlns="" id="{1C61CA0C-2F6A-4F02-9806-E0D1CBB9B25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4" name="TextBox 1823">
          <a:extLst>
            <a:ext uri="{FF2B5EF4-FFF2-40B4-BE49-F238E27FC236}">
              <a16:creationId xmlns:a16="http://schemas.microsoft.com/office/drawing/2014/main" xmlns="" id="{C237D8A6-1629-48A7-90A0-9ECC7B107C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5" name="TextBox 1824">
          <a:extLst>
            <a:ext uri="{FF2B5EF4-FFF2-40B4-BE49-F238E27FC236}">
              <a16:creationId xmlns:a16="http://schemas.microsoft.com/office/drawing/2014/main" xmlns="" id="{850C12BC-CD38-4B25-9A33-C70F2FB1C7F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6" name="TextBox 1825">
          <a:extLst>
            <a:ext uri="{FF2B5EF4-FFF2-40B4-BE49-F238E27FC236}">
              <a16:creationId xmlns:a16="http://schemas.microsoft.com/office/drawing/2014/main" xmlns="" id="{596CF90C-F2B6-446F-AFCA-C1DC7C0EC3C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7" name="TextBox 1826">
          <a:extLst>
            <a:ext uri="{FF2B5EF4-FFF2-40B4-BE49-F238E27FC236}">
              <a16:creationId xmlns:a16="http://schemas.microsoft.com/office/drawing/2014/main" xmlns="" id="{DE7647B7-581F-4C88-8B41-F3C41FCF261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8" name="TextBox 1827">
          <a:extLst>
            <a:ext uri="{FF2B5EF4-FFF2-40B4-BE49-F238E27FC236}">
              <a16:creationId xmlns:a16="http://schemas.microsoft.com/office/drawing/2014/main" xmlns="" id="{0D872420-CB3A-46C7-A77B-88793FBD652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29" name="TextBox 1828">
          <a:extLst>
            <a:ext uri="{FF2B5EF4-FFF2-40B4-BE49-F238E27FC236}">
              <a16:creationId xmlns:a16="http://schemas.microsoft.com/office/drawing/2014/main" xmlns="" id="{8FBD0584-AA58-4C99-BDED-A6D7B93C996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0" name="TextBox 1829">
          <a:extLst>
            <a:ext uri="{FF2B5EF4-FFF2-40B4-BE49-F238E27FC236}">
              <a16:creationId xmlns:a16="http://schemas.microsoft.com/office/drawing/2014/main" xmlns="" id="{83F8B12E-130D-4121-BD32-93AF3D67126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1" name="TextBox 1830">
          <a:extLst>
            <a:ext uri="{FF2B5EF4-FFF2-40B4-BE49-F238E27FC236}">
              <a16:creationId xmlns:a16="http://schemas.microsoft.com/office/drawing/2014/main" xmlns="" id="{3DB0C607-F36C-4644-B8B5-E7A3F88EA73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2" name="TextBox 1831">
          <a:extLst>
            <a:ext uri="{FF2B5EF4-FFF2-40B4-BE49-F238E27FC236}">
              <a16:creationId xmlns:a16="http://schemas.microsoft.com/office/drawing/2014/main" xmlns="" id="{64D06A80-16A6-4E6B-A4FA-59175AD900B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3" name="TextBox 1832">
          <a:extLst>
            <a:ext uri="{FF2B5EF4-FFF2-40B4-BE49-F238E27FC236}">
              <a16:creationId xmlns:a16="http://schemas.microsoft.com/office/drawing/2014/main" xmlns="" id="{EA2E74CC-7F6E-42C4-A12C-CBCC0CF4D0A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4" name="TextBox 1833">
          <a:extLst>
            <a:ext uri="{FF2B5EF4-FFF2-40B4-BE49-F238E27FC236}">
              <a16:creationId xmlns:a16="http://schemas.microsoft.com/office/drawing/2014/main" xmlns="" id="{81734A4A-D3A7-4792-9F3D-14FDF36A0C7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5" name="TextBox 1834">
          <a:extLst>
            <a:ext uri="{FF2B5EF4-FFF2-40B4-BE49-F238E27FC236}">
              <a16:creationId xmlns:a16="http://schemas.microsoft.com/office/drawing/2014/main" xmlns="" id="{2363BAA9-B156-4FE9-BE12-C4EB77BAC06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6" name="TextBox 1835">
          <a:extLst>
            <a:ext uri="{FF2B5EF4-FFF2-40B4-BE49-F238E27FC236}">
              <a16:creationId xmlns:a16="http://schemas.microsoft.com/office/drawing/2014/main" xmlns="" id="{81F895A6-3C8A-44AB-8C9A-FC608186B90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7" name="TextBox 1836">
          <a:extLst>
            <a:ext uri="{FF2B5EF4-FFF2-40B4-BE49-F238E27FC236}">
              <a16:creationId xmlns:a16="http://schemas.microsoft.com/office/drawing/2014/main" xmlns="" id="{3A445C58-47BD-474E-8E58-67575EB96EF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8" name="TextBox 1837">
          <a:extLst>
            <a:ext uri="{FF2B5EF4-FFF2-40B4-BE49-F238E27FC236}">
              <a16:creationId xmlns:a16="http://schemas.microsoft.com/office/drawing/2014/main" xmlns="" id="{FE1DF7D4-28C7-4237-A219-E655E379051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39" name="TextBox 1838">
          <a:extLst>
            <a:ext uri="{FF2B5EF4-FFF2-40B4-BE49-F238E27FC236}">
              <a16:creationId xmlns:a16="http://schemas.microsoft.com/office/drawing/2014/main" xmlns="" id="{1E5F35EE-2968-4F90-8C70-653EAE058E0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0" name="TextBox 1839">
          <a:extLst>
            <a:ext uri="{FF2B5EF4-FFF2-40B4-BE49-F238E27FC236}">
              <a16:creationId xmlns:a16="http://schemas.microsoft.com/office/drawing/2014/main" xmlns="" id="{810D2831-8F6C-4214-B598-3DD3967C188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1" name="TextBox 1840">
          <a:extLst>
            <a:ext uri="{FF2B5EF4-FFF2-40B4-BE49-F238E27FC236}">
              <a16:creationId xmlns:a16="http://schemas.microsoft.com/office/drawing/2014/main" xmlns="" id="{21C1B7D5-04C2-49CD-A1E6-91267644810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2" name="TextBox 1841">
          <a:extLst>
            <a:ext uri="{FF2B5EF4-FFF2-40B4-BE49-F238E27FC236}">
              <a16:creationId xmlns:a16="http://schemas.microsoft.com/office/drawing/2014/main" xmlns="" id="{46CABBB9-6333-41C1-B1CA-0F72E200E06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3" name="TextBox 1842">
          <a:extLst>
            <a:ext uri="{FF2B5EF4-FFF2-40B4-BE49-F238E27FC236}">
              <a16:creationId xmlns:a16="http://schemas.microsoft.com/office/drawing/2014/main" xmlns="" id="{9D798D84-8AC2-48AD-B3AD-31149FD251A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4" name="TextBox 1843">
          <a:extLst>
            <a:ext uri="{FF2B5EF4-FFF2-40B4-BE49-F238E27FC236}">
              <a16:creationId xmlns:a16="http://schemas.microsoft.com/office/drawing/2014/main" xmlns="" id="{5C21C7BE-867E-4403-AC02-720FFAC8846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5" name="TextBox 1844">
          <a:extLst>
            <a:ext uri="{FF2B5EF4-FFF2-40B4-BE49-F238E27FC236}">
              <a16:creationId xmlns:a16="http://schemas.microsoft.com/office/drawing/2014/main" xmlns="" id="{96DB91F7-B9EA-4DCA-85A2-C548584DD20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6" name="TextBox 1845">
          <a:extLst>
            <a:ext uri="{FF2B5EF4-FFF2-40B4-BE49-F238E27FC236}">
              <a16:creationId xmlns:a16="http://schemas.microsoft.com/office/drawing/2014/main" xmlns="" id="{51A231AE-2557-4FC9-BD23-064A6D72C4E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7" name="TextBox 1846">
          <a:extLst>
            <a:ext uri="{FF2B5EF4-FFF2-40B4-BE49-F238E27FC236}">
              <a16:creationId xmlns:a16="http://schemas.microsoft.com/office/drawing/2014/main" xmlns="" id="{A394DD99-0109-491E-9F87-0A335E32B28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8" name="TextBox 1847">
          <a:extLst>
            <a:ext uri="{FF2B5EF4-FFF2-40B4-BE49-F238E27FC236}">
              <a16:creationId xmlns:a16="http://schemas.microsoft.com/office/drawing/2014/main" xmlns="" id="{B1D9D470-FA32-45F1-9852-7EBF4002519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49" name="TextBox 1848">
          <a:extLst>
            <a:ext uri="{FF2B5EF4-FFF2-40B4-BE49-F238E27FC236}">
              <a16:creationId xmlns:a16="http://schemas.microsoft.com/office/drawing/2014/main" xmlns="" id="{19D1A2BC-BC1B-4627-AAAE-A47499FB97B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0" name="TextBox 1849">
          <a:extLst>
            <a:ext uri="{FF2B5EF4-FFF2-40B4-BE49-F238E27FC236}">
              <a16:creationId xmlns:a16="http://schemas.microsoft.com/office/drawing/2014/main" xmlns="" id="{EA656665-EDD0-4C34-8DB6-A986654A7B9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1" name="TextBox 1850">
          <a:extLst>
            <a:ext uri="{FF2B5EF4-FFF2-40B4-BE49-F238E27FC236}">
              <a16:creationId xmlns:a16="http://schemas.microsoft.com/office/drawing/2014/main" xmlns="" id="{9ADAA1D4-0BC5-46D5-A5E0-94D812022E4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2" name="TextBox 1851">
          <a:extLst>
            <a:ext uri="{FF2B5EF4-FFF2-40B4-BE49-F238E27FC236}">
              <a16:creationId xmlns:a16="http://schemas.microsoft.com/office/drawing/2014/main" xmlns="" id="{2800A319-815B-4EFF-AB90-4C9DA05709E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3" name="TextBox 1852">
          <a:extLst>
            <a:ext uri="{FF2B5EF4-FFF2-40B4-BE49-F238E27FC236}">
              <a16:creationId xmlns:a16="http://schemas.microsoft.com/office/drawing/2014/main" xmlns="" id="{EF0AA317-5444-49FD-804B-0FDB748B2B2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4" name="TextBox 1853">
          <a:extLst>
            <a:ext uri="{FF2B5EF4-FFF2-40B4-BE49-F238E27FC236}">
              <a16:creationId xmlns:a16="http://schemas.microsoft.com/office/drawing/2014/main" xmlns="" id="{3E5C7E9E-6396-4B34-9FF7-9C44B57AD25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5" name="TextBox 1854">
          <a:extLst>
            <a:ext uri="{FF2B5EF4-FFF2-40B4-BE49-F238E27FC236}">
              <a16:creationId xmlns:a16="http://schemas.microsoft.com/office/drawing/2014/main" xmlns="" id="{C4D6BB6A-C920-4F6A-8773-CF0237C6037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6" name="TextBox 1855">
          <a:extLst>
            <a:ext uri="{FF2B5EF4-FFF2-40B4-BE49-F238E27FC236}">
              <a16:creationId xmlns:a16="http://schemas.microsoft.com/office/drawing/2014/main" xmlns="" id="{22AAA0D3-C675-4BE4-915B-25D2BAF8825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7" name="TextBox 1856">
          <a:extLst>
            <a:ext uri="{FF2B5EF4-FFF2-40B4-BE49-F238E27FC236}">
              <a16:creationId xmlns:a16="http://schemas.microsoft.com/office/drawing/2014/main" xmlns="" id="{4DC5605E-F918-406A-90CC-81D668B2813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8" name="TextBox 1857">
          <a:extLst>
            <a:ext uri="{FF2B5EF4-FFF2-40B4-BE49-F238E27FC236}">
              <a16:creationId xmlns:a16="http://schemas.microsoft.com/office/drawing/2014/main" xmlns="" id="{CF4F6426-93EC-43C9-AF54-EBF1DBE5F3A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59" name="TextBox 1858">
          <a:extLst>
            <a:ext uri="{FF2B5EF4-FFF2-40B4-BE49-F238E27FC236}">
              <a16:creationId xmlns:a16="http://schemas.microsoft.com/office/drawing/2014/main" xmlns="" id="{F5F01CD9-E7F1-46E7-A668-C6E650D12BF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0" name="TextBox 1859">
          <a:extLst>
            <a:ext uri="{FF2B5EF4-FFF2-40B4-BE49-F238E27FC236}">
              <a16:creationId xmlns:a16="http://schemas.microsoft.com/office/drawing/2014/main" xmlns="" id="{E93F32D5-F0CE-46F0-A8A0-9D0F0CEBE20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1" name="TextBox 1860">
          <a:extLst>
            <a:ext uri="{FF2B5EF4-FFF2-40B4-BE49-F238E27FC236}">
              <a16:creationId xmlns:a16="http://schemas.microsoft.com/office/drawing/2014/main" xmlns="" id="{B44CC8CC-1F1F-416D-9621-AF444DEC060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2" name="TextBox 1861">
          <a:extLst>
            <a:ext uri="{FF2B5EF4-FFF2-40B4-BE49-F238E27FC236}">
              <a16:creationId xmlns:a16="http://schemas.microsoft.com/office/drawing/2014/main" xmlns="" id="{47523506-30A5-4F6D-AB7B-C496C06D24E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3" name="TextBox 1862">
          <a:extLst>
            <a:ext uri="{FF2B5EF4-FFF2-40B4-BE49-F238E27FC236}">
              <a16:creationId xmlns:a16="http://schemas.microsoft.com/office/drawing/2014/main" xmlns="" id="{5440C842-B77D-49E6-984D-34B5DBB1BA6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4" name="TextBox 1863">
          <a:extLst>
            <a:ext uri="{FF2B5EF4-FFF2-40B4-BE49-F238E27FC236}">
              <a16:creationId xmlns:a16="http://schemas.microsoft.com/office/drawing/2014/main" xmlns="" id="{A965A6E9-5D5D-4A0E-9A70-13625ED290B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5" name="TextBox 1864">
          <a:extLst>
            <a:ext uri="{FF2B5EF4-FFF2-40B4-BE49-F238E27FC236}">
              <a16:creationId xmlns:a16="http://schemas.microsoft.com/office/drawing/2014/main" xmlns="" id="{56546C46-927D-4B5A-9F1F-BF331622212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6" name="TextBox 1865">
          <a:extLst>
            <a:ext uri="{FF2B5EF4-FFF2-40B4-BE49-F238E27FC236}">
              <a16:creationId xmlns:a16="http://schemas.microsoft.com/office/drawing/2014/main" xmlns="" id="{891AF3ED-01B4-43D3-844C-6CE7A67E9E7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7" name="TextBox 1866">
          <a:extLst>
            <a:ext uri="{FF2B5EF4-FFF2-40B4-BE49-F238E27FC236}">
              <a16:creationId xmlns:a16="http://schemas.microsoft.com/office/drawing/2014/main" xmlns="" id="{929C04D4-E705-4972-8216-B82DF1B79C8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8" name="TextBox 1867">
          <a:extLst>
            <a:ext uri="{FF2B5EF4-FFF2-40B4-BE49-F238E27FC236}">
              <a16:creationId xmlns:a16="http://schemas.microsoft.com/office/drawing/2014/main" xmlns="" id="{32E31011-A314-4DE8-A32A-56519DF2E50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69" name="TextBox 1868">
          <a:extLst>
            <a:ext uri="{FF2B5EF4-FFF2-40B4-BE49-F238E27FC236}">
              <a16:creationId xmlns:a16="http://schemas.microsoft.com/office/drawing/2014/main" xmlns="" id="{6AD03C63-DC64-4C36-BD08-0468FC94E43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0" name="TextBox 1869">
          <a:extLst>
            <a:ext uri="{FF2B5EF4-FFF2-40B4-BE49-F238E27FC236}">
              <a16:creationId xmlns:a16="http://schemas.microsoft.com/office/drawing/2014/main" xmlns="" id="{07622592-6B3E-43A2-9217-5F5B7D13E38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1" name="TextBox 1870">
          <a:extLst>
            <a:ext uri="{FF2B5EF4-FFF2-40B4-BE49-F238E27FC236}">
              <a16:creationId xmlns:a16="http://schemas.microsoft.com/office/drawing/2014/main" xmlns="" id="{80488000-D66F-49F2-9F68-EA00EE4A843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2" name="TextBox 1871">
          <a:extLst>
            <a:ext uri="{FF2B5EF4-FFF2-40B4-BE49-F238E27FC236}">
              <a16:creationId xmlns:a16="http://schemas.microsoft.com/office/drawing/2014/main" xmlns="" id="{E1CC81E6-BDE2-439F-A3EC-652F696F363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3" name="TextBox 1872">
          <a:extLst>
            <a:ext uri="{FF2B5EF4-FFF2-40B4-BE49-F238E27FC236}">
              <a16:creationId xmlns:a16="http://schemas.microsoft.com/office/drawing/2014/main" xmlns="" id="{F274E1D5-3FE2-41AD-8341-AE1DAF0EA0C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4" name="TextBox 1873">
          <a:extLst>
            <a:ext uri="{FF2B5EF4-FFF2-40B4-BE49-F238E27FC236}">
              <a16:creationId xmlns:a16="http://schemas.microsoft.com/office/drawing/2014/main" xmlns="" id="{CD159D6C-D911-4D14-9DE9-311068E1B33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5" name="TextBox 1874">
          <a:extLst>
            <a:ext uri="{FF2B5EF4-FFF2-40B4-BE49-F238E27FC236}">
              <a16:creationId xmlns:a16="http://schemas.microsoft.com/office/drawing/2014/main" xmlns="" id="{1CDAA2CE-7CC1-4D6D-B786-DAEB23F8DF1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6" name="TextBox 1875">
          <a:extLst>
            <a:ext uri="{FF2B5EF4-FFF2-40B4-BE49-F238E27FC236}">
              <a16:creationId xmlns:a16="http://schemas.microsoft.com/office/drawing/2014/main" xmlns="" id="{50F17B53-1E3E-45C2-854F-4D2E112760A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7" name="TextBox 1876">
          <a:extLst>
            <a:ext uri="{FF2B5EF4-FFF2-40B4-BE49-F238E27FC236}">
              <a16:creationId xmlns:a16="http://schemas.microsoft.com/office/drawing/2014/main" xmlns="" id="{C881FFA4-D7E4-4071-917B-F594EAEECCC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8" name="TextBox 1877">
          <a:extLst>
            <a:ext uri="{FF2B5EF4-FFF2-40B4-BE49-F238E27FC236}">
              <a16:creationId xmlns:a16="http://schemas.microsoft.com/office/drawing/2014/main" xmlns="" id="{BC10ADA9-9830-45B5-BA86-A43F9CB77D7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79" name="TextBox 1878">
          <a:extLst>
            <a:ext uri="{FF2B5EF4-FFF2-40B4-BE49-F238E27FC236}">
              <a16:creationId xmlns:a16="http://schemas.microsoft.com/office/drawing/2014/main" xmlns="" id="{33472638-EC14-486E-A798-0614A397C11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0" name="TextBox 1879">
          <a:extLst>
            <a:ext uri="{FF2B5EF4-FFF2-40B4-BE49-F238E27FC236}">
              <a16:creationId xmlns:a16="http://schemas.microsoft.com/office/drawing/2014/main" xmlns="" id="{15F926F4-D8D2-41A2-A29B-B035377EFBF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1" name="TextBox 1880">
          <a:extLst>
            <a:ext uri="{FF2B5EF4-FFF2-40B4-BE49-F238E27FC236}">
              <a16:creationId xmlns:a16="http://schemas.microsoft.com/office/drawing/2014/main" xmlns="" id="{36D60195-2886-479A-8084-50C669F756F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2" name="TextBox 1881">
          <a:extLst>
            <a:ext uri="{FF2B5EF4-FFF2-40B4-BE49-F238E27FC236}">
              <a16:creationId xmlns:a16="http://schemas.microsoft.com/office/drawing/2014/main" xmlns="" id="{866C90A7-1D02-4397-8DA8-11273D74EC7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3" name="TextBox 1882">
          <a:extLst>
            <a:ext uri="{FF2B5EF4-FFF2-40B4-BE49-F238E27FC236}">
              <a16:creationId xmlns:a16="http://schemas.microsoft.com/office/drawing/2014/main" xmlns="" id="{7D5268C0-448F-467F-A2C3-B2591B10838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4" name="TextBox 1883">
          <a:extLst>
            <a:ext uri="{FF2B5EF4-FFF2-40B4-BE49-F238E27FC236}">
              <a16:creationId xmlns:a16="http://schemas.microsoft.com/office/drawing/2014/main" xmlns="" id="{F0A22833-CD32-4A41-9641-A87DEF8E3D2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5" name="TextBox 1884">
          <a:extLst>
            <a:ext uri="{FF2B5EF4-FFF2-40B4-BE49-F238E27FC236}">
              <a16:creationId xmlns:a16="http://schemas.microsoft.com/office/drawing/2014/main" xmlns="" id="{8FC5463C-D7B7-4340-924C-DFFC554BC0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6" name="TextBox 1885">
          <a:extLst>
            <a:ext uri="{FF2B5EF4-FFF2-40B4-BE49-F238E27FC236}">
              <a16:creationId xmlns:a16="http://schemas.microsoft.com/office/drawing/2014/main" xmlns="" id="{D561FCEE-0348-447C-BD0D-84FA3DE85B4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7" name="TextBox 1886">
          <a:extLst>
            <a:ext uri="{FF2B5EF4-FFF2-40B4-BE49-F238E27FC236}">
              <a16:creationId xmlns:a16="http://schemas.microsoft.com/office/drawing/2014/main" xmlns="" id="{24D35D6D-951A-412A-880B-C82CBC7B014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8" name="TextBox 1887">
          <a:extLst>
            <a:ext uri="{FF2B5EF4-FFF2-40B4-BE49-F238E27FC236}">
              <a16:creationId xmlns:a16="http://schemas.microsoft.com/office/drawing/2014/main" xmlns="" id="{8419B7D7-0C41-448F-A04B-F9BCDD7C5E1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89" name="TextBox 1888">
          <a:extLst>
            <a:ext uri="{FF2B5EF4-FFF2-40B4-BE49-F238E27FC236}">
              <a16:creationId xmlns:a16="http://schemas.microsoft.com/office/drawing/2014/main" xmlns="" id="{A97F907C-991D-4D82-BD40-068EA5591F5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0" name="TextBox 1889">
          <a:extLst>
            <a:ext uri="{FF2B5EF4-FFF2-40B4-BE49-F238E27FC236}">
              <a16:creationId xmlns:a16="http://schemas.microsoft.com/office/drawing/2014/main" xmlns="" id="{BBC0279B-8414-4C0A-86CD-D0D57DF576C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1" name="TextBox 1890">
          <a:extLst>
            <a:ext uri="{FF2B5EF4-FFF2-40B4-BE49-F238E27FC236}">
              <a16:creationId xmlns:a16="http://schemas.microsoft.com/office/drawing/2014/main" xmlns="" id="{5836624C-E614-4F1A-8811-B7B42E6D002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2" name="TextBox 1891">
          <a:extLst>
            <a:ext uri="{FF2B5EF4-FFF2-40B4-BE49-F238E27FC236}">
              <a16:creationId xmlns:a16="http://schemas.microsoft.com/office/drawing/2014/main" xmlns="" id="{6A2BE578-58EA-497D-9661-D241494C29A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3" name="TextBox 1892">
          <a:extLst>
            <a:ext uri="{FF2B5EF4-FFF2-40B4-BE49-F238E27FC236}">
              <a16:creationId xmlns:a16="http://schemas.microsoft.com/office/drawing/2014/main" xmlns="" id="{D837DCEC-05DD-4F8F-89F3-4E9976E66CB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4" name="TextBox 1893">
          <a:extLst>
            <a:ext uri="{FF2B5EF4-FFF2-40B4-BE49-F238E27FC236}">
              <a16:creationId xmlns:a16="http://schemas.microsoft.com/office/drawing/2014/main" xmlns="" id="{691F092D-B105-4C06-B99A-C161F13340F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5" name="TextBox 1894">
          <a:extLst>
            <a:ext uri="{FF2B5EF4-FFF2-40B4-BE49-F238E27FC236}">
              <a16:creationId xmlns:a16="http://schemas.microsoft.com/office/drawing/2014/main" xmlns="" id="{6CEE89EE-7BCE-4880-ADB8-B70F5F7EE69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6" name="TextBox 1895">
          <a:extLst>
            <a:ext uri="{FF2B5EF4-FFF2-40B4-BE49-F238E27FC236}">
              <a16:creationId xmlns:a16="http://schemas.microsoft.com/office/drawing/2014/main" xmlns="" id="{7A24E033-20B1-45E2-A8B5-70F4A5AA3B5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7" name="TextBox 1896">
          <a:extLst>
            <a:ext uri="{FF2B5EF4-FFF2-40B4-BE49-F238E27FC236}">
              <a16:creationId xmlns:a16="http://schemas.microsoft.com/office/drawing/2014/main" xmlns="" id="{09FADD64-BCA0-4979-9CD9-F0AC5BCFF2B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8" name="TextBox 1897">
          <a:extLst>
            <a:ext uri="{FF2B5EF4-FFF2-40B4-BE49-F238E27FC236}">
              <a16:creationId xmlns:a16="http://schemas.microsoft.com/office/drawing/2014/main" xmlns="" id="{54BFE201-0080-48B9-8F0B-0F955A5EB01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899" name="TextBox 1898">
          <a:extLst>
            <a:ext uri="{FF2B5EF4-FFF2-40B4-BE49-F238E27FC236}">
              <a16:creationId xmlns:a16="http://schemas.microsoft.com/office/drawing/2014/main" xmlns="" id="{F3341FDA-F104-4D4D-8D9A-E2566F49B69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0" name="TextBox 1899">
          <a:extLst>
            <a:ext uri="{FF2B5EF4-FFF2-40B4-BE49-F238E27FC236}">
              <a16:creationId xmlns:a16="http://schemas.microsoft.com/office/drawing/2014/main" xmlns="" id="{CD67B424-C230-45F9-BDC9-D1077088033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1" name="TextBox 1900">
          <a:extLst>
            <a:ext uri="{FF2B5EF4-FFF2-40B4-BE49-F238E27FC236}">
              <a16:creationId xmlns:a16="http://schemas.microsoft.com/office/drawing/2014/main" xmlns="" id="{11E62F7A-9B08-4D4B-A468-61EDD000CF7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2" name="TextBox 1901">
          <a:extLst>
            <a:ext uri="{FF2B5EF4-FFF2-40B4-BE49-F238E27FC236}">
              <a16:creationId xmlns:a16="http://schemas.microsoft.com/office/drawing/2014/main" xmlns="" id="{7FFE0DD2-8D27-4001-A813-69F92FD9561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3" name="TextBox 1902">
          <a:extLst>
            <a:ext uri="{FF2B5EF4-FFF2-40B4-BE49-F238E27FC236}">
              <a16:creationId xmlns:a16="http://schemas.microsoft.com/office/drawing/2014/main" xmlns="" id="{303C2195-A89B-4DE8-95AC-C17C499E3F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4" name="TextBox 1903">
          <a:extLst>
            <a:ext uri="{FF2B5EF4-FFF2-40B4-BE49-F238E27FC236}">
              <a16:creationId xmlns:a16="http://schemas.microsoft.com/office/drawing/2014/main" xmlns="" id="{32104484-30B5-4CB0-B8E9-118202AF996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5" name="TextBox 1904">
          <a:extLst>
            <a:ext uri="{FF2B5EF4-FFF2-40B4-BE49-F238E27FC236}">
              <a16:creationId xmlns:a16="http://schemas.microsoft.com/office/drawing/2014/main" xmlns="" id="{612F7595-E4F6-46B5-A972-7C5734D71D5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6" name="TextBox 1905">
          <a:extLst>
            <a:ext uri="{FF2B5EF4-FFF2-40B4-BE49-F238E27FC236}">
              <a16:creationId xmlns:a16="http://schemas.microsoft.com/office/drawing/2014/main" xmlns="" id="{DAD204F5-93D5-4D3D-B2C4-EAE277B299F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7" name="TextBox 1906">
          <a:extLst>
            <a:ext uri="{FF2B5EF4-FFF2-40B4-BE49-F238E27FC236}">
              <a16:creationId xmlns:a16="http://schemas.microsoft.com/office/drawing/2014/main" xmlns="" id="{7740D8B1-DDDB-495C-A6E3-D83C98DA9E2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8" name="TextBox 1907">
          <a:extLst>
            <a:ext uri="{FF2B5EF4-FFF2-40B4-BE49-F238E27FC236}">
              <a16:creationId xmlns:a16="http://schemas.microsoft.com/office/drawing/2014/main" xmlns="" id="{7EB1193B-49E1-41FE-8484-AB1CF1CAC5B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09" name="TextBox 1908">
          <a:extLst>
            <a:ext uri="{FF2B5EF4-FFF2-40B4-BE49-F238E27FC236}">
              <a16:creationId xmlns:a16="http://schemas.microsoft.com/office/drawing/2014/main" xmlns="" id="{C148FDA0-0D91-43FD-8EB7-96A16EE2A30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0" name="TextBox 1909">
          <a:extLst>
            <a:ext uri="{FF2B5EF4-FFF2-40B4-BE49-F238E27FC236}">
              <a16:creationId xmlns:a16="http://schemas.microsoft.com/office/drawing/2014/main" xmlns="" id="{2FA6E6D9-8FD4-4AB8-B89D-EBA1670A5C2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1" name="TextBox 1910">
          <a:extLst>
            <a:ext uri="{FF2B5EF4-FFF2-40B4-BE49-F238E27FC236}">
              <a16:creationId xmlns:a16="http://schemas.microsoft.com/office/drawing/2014/main" xmlns="" id="{6266AB08-DB46-4842-9DCF-4274528F6C7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2" name="TextBox 1911">
          <a:extLst>
            <a:ext uri="{FF2B5EF4-FFF2-40B4-BE49-F238E27FC236}">
              <a16:creationId xmlns:a16="http://schemas.microsoft.com/office/drawing/2014/main" xmlns="" id="{79AE7703-276F-4511-8B9C-27FD93BAA78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3" name="TextBox 1912">
          <a:extLst>
            <a:ext uri="{FF2B5EF4-FFF2-40B4-BE49-F238E27FC236}">
              <a16:creationId xmlns:a16="http://schemas.microsoft.com/office/drawing/2014/main" xmlns="" id="{52245DC6-6EBB-4A83-9D65-D8B81AD6D7A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4" name="TextBox 1913">
          <a:extLst>
            <a:ext uri="{FF2B5EF4-FFF2-40B4-BE49-F238E27FC236}">
              <a16:creationId xmlns:a16="http://schemas.microsoft.com/office/drawing/2014/main" xmlns="" id="{773FDD99-C576-41D0-AC06-9ABEAB3EE64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5" name="TextBox 1914">
          <a:extLst>
            <a:ext uri="{FF2B5EF4-FFF2-40B4-BE49-F238E27FC236}">
              <a16:creationId xmlns:a16="http://schemas.microsoft.com/office/drawing/2014/main" xmlns="" id="{305FA1E4-0132-49E7-A352-46190C2600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6" name="TextBox 1915">
          <a:extLst>
            <a:ext uri="{FF2B5EF4-FFF2-40B4-BE49-F238E27FC236}">
              <a16:creationId xmlns:a16="http://schemas.microsoft.com/office/drawing/2014/main" xmlns="" id="{C6256C0A-216D-48E8-9DF8-8DE635BB872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7" name="TextBox 1916">
          <a:extLst>
            <a:ext uri="{FF2B5EF4-FFF2-40B4-BE49-F238E27FC236}">
              <a16:creationId xmlns:a16="http://schemas.microsoft.com/office/drawing/2014/main" xmlns="" id="{4FE9C5B9-092E-42C0-99E0-6DA8F31830B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8" name="TextBox 1917">
          <a:extLst>
            <a:ext uri="{FF2B5EF4-FFF2-40B4-BE49-F238E27FC236}">
              <a16:creationId xmlns:a16="http://schemas.microsoft.com/office/drawing/2014/main" xmlns="" id="{22B863B6-2966-4F48-AD56-92A8FF8564A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19" name="TextBox 1918">
          <a:extLst>
            <a:ext uri="{FF2B5EF4-FFF2-40B4-BE49-F238E27FC236}">
              <a16:creationId xmlns:a16="http://schemas.microsoft.com/office/drawing/2014/main" xmlns="" id="{7BE11BDF-68F0-4C48-871E-5CFD64D4DE1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0" name="TextBox 1919">
          <a:extLst>
            <a:ext uri="{FF2B5EF4-FFF2-40B4-BE49-F238E27FC236}">
              <a16:creationId xmlns:a16="http://schemas.microsoft.com/office/drawing/2014/main" xmlns="" id="{E5F91282-5B0E-46E0-A782-1976A3A508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1" name="TextBox 1920">
          <a:extLst>
            <a:ext uri="{FF2B5EF4-FFF2-40B4-BE49-F238E27FC236}">
              <a16:creationId xmlns:a16="http://schemas.microsoft.com/office/drawing/2014/main" xmlns="" id="{E1D5031A-281E-413B-BD15-01588C0E4C4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2" name="TextBox 1921">
          <a:extLst>
            <a:ext uri="{FF2B5EF4-FFF2-40B4-BE49-F238E27FC236}">
              <a16:creationId xmlns:a16="http://schemas.microsoft.com/office/drawing/2014/main" xmlns="" id="{DABE28B4-CA60-4016-BC65-8EC37ED045B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3" name="TextBox 1922">
          <a:extLst>
            <a:ext uri="{FF2B5EF4-FFF2-40B4-BE49-F238E27FC236}">
              <a16:creationId xmlns:a16="http://schemas.microsoft.com/office/drawing/2014/main" xmlns="" id="{C58FCB71-2525-4553-BCFE-92D0C58C419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4" name="TextBox 1923">
          <a:extLst>
            <a:ext uri="{FF2B5EF4-FFF2-40B4-BE49-F238E27FC236}">
              <a16:creationId xmlns:a16="http://schemas.microsoft.com/office/drawing/2014/main" xmlns="" id="{4656C4AF-BFA0-4807-B839-78333537A0E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5" name="TextBox 1924">
          <a:extLst>
            <a:ext uri="{FF2B5EF4-FFF2-40B4-BE49-F238E27FC236}">
              <a16:creationId xmlns:a16="http://schemas.microsoft.com/office/drawing/2014/main" xmlns="" id="{3862102A-02E8-468C-BD83-6737257DF63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6" name="TextBox 1925">
          <a:extLst>
            <a:ext uri="{FF2B5EF4-FFF2-40B4-BE49-F238E27FC236}">
              <a16:creationId xmlns:a16="http://schemas.microsoft.com/office/drawing/2014/main" xmlns="" id="{61C80128-7170-485D-94E3-AE33ED1CC56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7" name="TextBox 1926">
          <a:extLst>
            <a:ext uri="{FF2B5EF4-FFF2-40B4-BE49-F238E27FC236}">
              <a16:creationId xmlns:a16="http://schemas.microsoft.com/office/drawing/2014/main" xmlns="" id="{D4EA3026-24E3-4FFD-844C-87C41EEB560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8" name="TextBox 1927">
          <a:extLst>
            <a:ext uri="{FF2B5EF4-FFF2-40B4-BE49-F238E27FC236}">
              <a16:creationId xmlns:a16="http://schemas.microsoft.com/office/drawing/2014/main" xmlns="" id="{A7D71456-8F35-457E-9351-76BC2B1FD31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29" name="TextBox 1928">
          <a:extLst>
            <a:ext uri="{FF2B5EF4-FFF2-40B4-BE49-F238E27FC236}">
              <a16:creationId xmlns:a16="http://schemas.microsoft.com/office/drawing/2014/main" xmlns="" id="{91BD0769-64A4-4D8C-9FC2-F830CC27BCB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0" name="TextBox 1929">
          <a:extLst>
            <a:ext uri="{FF2B5EF4-FFF2-40B4-BE49-F238E27FC236}">
              <a16:creationId xmlns:a16="http://schemas.microsoft.com/office/drawing/2014/main" xmlns="" id="{D70221FA-794E-47D0-8BD8-C748C38BDE9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1" name="TextBox 1930">
          <a:extLst>
            <a:ext uri="{FF2B5EF4-FFF2-40B4-BE49-F238E27FC236}">
              <a16:creationId xmlns:a16="http://schemas.microsoft.com/office/drawing/2014/main" xmlns="" id="{7CE16A20-A5FB-4711-8D50-B654557716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2" name="TextBox 1931">
          <a:extLst>
            <a:ext uri="{FF2B5EF4-FFF2-40B4-BE49-F238E27FC236}">
              <a16:creationId xmlns:a16="http://schemas.microsoft.com/office/drawing/2014/main" xmlns="" id="{6317634E-9467-485B-A217-5526B4519AA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3" name="TextBox 1932">
          <a:extLst>
            <a:ext uri="{FF2B5EF4-FFF2-40B4-BE49-F238E27FC236}">
              <a16:creationId xmlns:a16="http://schemas.microsoft.com/office/drawing/2014/main" xmlns="" id="{D5DAB473-74D6-4FB6-A9A8-8B147CFF58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4" name="TextBox 1933">
          <a:extLst>
            <a:ext uri="{FF2B5EF4-FFF2-40B4-BE49-F238E27FC236}">
              <a16:creationId xmlns:a16="http://schemas.microsoft.com/office/drawing/2014/main" xmlns="" id="{8F9ABB8C-C4E3-4830-97FD-3AE1D61C28B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5" name="TextBox 1934">
          <a:extLst>
            <a:ext uri="{FF2B5EF4-FFF2-40B4-BE49-F238E27FC236}">
              <a16:creationId xmlns:a16="http://schemas.microsoft.com/office/drawing/2014/main" xmlns="" id="{D8138815-E7B4-45CE-B2C4-E0C0EB37BBE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6" name="TextBox 1935">
          <a:extLst>
            <a:ext uri="{FF2B5EF4-FFF2-40B4-BE49-F238E27FC236}">
              <a16:creationId xmlns:a16="http://schemas.microsoft.com/office/drawing/2014/main" xmlns="" id="{0D2735F3-1284-4CFB-B642-A8FC1BF18BC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7" name="TextBox 1936">
          <a:extLst>
            <a:ext uri="{FF2B5EF4-FFF2-40B4-BE49-F238E27FC236}">
              <a16:creationId xmlns:a16="http://schemas.microsoft.com/office/drawing/2014/main" xmlns="" id="{0D5B0493-11C1-473A-AD79-E3426F380FF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8" name="TextBox 1937">
          <a:extLst>
            <a:ext uri="{FF2B5EF4-FFF2-40B4-BE49-F238E27FC236}">
              <a16:creationId xmlns:a16="http://schemas.microsoft.com/office/drawing/2014/main" xmlns="" id="{CE2DDA8E-82DF-4E8F-A994-81F0CBC6AF5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39" name="TextBox 1938">
          <a:extLst>
            <a:ext uri="{FF2B5EF4-FFF2-40B4-BE49-F238E27FC236}">
              <a16:creationId xmlns:a16="http://schemas.microsoft.com/office/drawing/2014/main" xmlns="" id="{992D829A-E5F9-4C08-8E96-F7CE02C2BC2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0" name="TextBox 1939">
          <a:extLst>
            <a:ext uri="{FF2B5EF4-FFF2-40B4-BE49-F238E27FC236}">
              <a16:creationId xmlns:a16="http://schemas.microsoft.com/office/drawing/2014/main" xmlns="" id="{27DEE681-E227-4D33-A804-265FBD9714A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1" name="TextBox 1940">
          <a:extLst>
            <a:ext uri="{FF2B5EF4-FFF2-40B4-BE49-F238E27FC236}">
              <a16:creationId xmlns:a16="http://schemas.microsoft.com/office/drawing/2014/main" xmlns="" id="{A61BCFB4-89C3-4E25-8EEF-DA85CB43587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2" name="TextBox 1941">
          <a:extLst>
            <a:ext uri="{FF2B5EF4-FFF2-40B4-BE49-F238E27FC236}">
              <a16:creationId xmlns:a16="http://schemas.microsoft.com/office/drawing/2014/main" xmlns="" id="{387CC6E0-A86D-4B11-A49E-A88B87D4828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3" name="TextBox 1942">
          <a:extLst>
            <a:ext uri="{FF2B5EF4-FFF2-40B4-BE49-F238E27FC236}">
              <a16:creationId xmlns:a16="http://schemas.microsoft.com/office/drawing/2014/main" xmlns="" id="{00A89F98-F067-4767-9CF5-8BE1AD3BEBD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4" name="TextBox 1943">
          <a:extLst>
            <a:ext uri="{FF2B5EF4-FFF2-40B4-BE49-F238E27FC236}">
              <a16:creationId xmlns:a16="http://schemas.microsoft.com/office/drawing/2014/main" xmlns="" id="{DE928D08-6F47-4787-897C-AB7AC1445E2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5" name="TextBox 1944">
          <a:extLst>
            <a:ext uri="{FF2B5EF4-FFF2-40B4-BE49-F238E27FC236}">
              <a16:creationId xmlns:a16="http://schemas.microsoft.com/office/drawing/2014/main" xmlns="" id="{7B37120A-7F20-49CB-96DA-2B6353009A9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6" name="TextBox 1945">
          <a:extLst>
            <a:ext uri="{FF2B5EF4-FFF2-40B4-BE49-F238E27FC236}">
              <a16:creationId xmlns:a16="http://schemas.microsoft.com/office/drawing/2014/main" xmlns="" id="{C5B3923A-A4F7-4E34-A01E-A42E43B3145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7" name="TextBox 1946">
          <a:extLst>
            <a:ext uri="{FF2B5EF4-FFF2-40B4-BE49-F238E27FC236}">
              <a16:creationId xmlns:a16="http://schemas.microsoft.com/office/drawing/2014/main" xmlns="" id="{6C9FBE76-2446-4F28-854E-C80A22D20E6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8" name="TextBox 1947">
          <a:extLst>
            <a:ext uri="{FF2B5EF4-FFF2-40B4-BE49-F238E27FC236}">
              <a16:creationId xmlns:a16="http://schemas.microsoft.com/office/drawing/2014/main" xmlns="" id="{1C1B6B3C-CD1E-4581-8AF4-A1F30FC1477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49" name="TextBox 1948">
          <a:extLst>
            <a:ext uri="{FF2B5EF4-FFF2-40B4-BE49-F238E27FC236}">
              <a16:creationId xmlns:a16="http://schemas.microsoft.com/office/drawing/2014/main" xmlns="" id="{0A55BB1C-62E4-499D-8A83-AE660D2C26B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0" name="TextBox 1949">
          <a:extLst>
            <a:ext uri="{FF2B5EF4-FFF2-40B4-BE49-F238E27FC236}">
              <a16:creationId xmlns:a16="http://schemas.microsoft.com/office/drawing/2014/main" xmlns="" id="{B6679163-773C-4C32-B9A5-626E609820C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1" name="TextBox 1950">
          <a:extLst>
            <a:ext uri="{FF2B5EF4-FFF2-40B4-BE49-F238E27FC236}">
              <a16:creationId xmlns:a16="http://schemas.microsoft.com/office/drawing/2014/main" xmlns="" id="{28C74C91-83CE-44D0-90C0-0A7675542A1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2" name="TextBox 1951">
          <a:extLst>
            <a:ext uri="{FF2B5EF4-FFF2-40B4-BE49-F238E27FC236}">
              <a16:creationId xmlns:a16="http://schemas.microsoft.com/office/drawing/2014/main" xmlns="" id="{5FE21241-61C6-48C4-B8C2-A19C48FC2E2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3" name="TextBox 1952">
          <a:extLst>
            <a:ext uri="{FF2B5EF4-FFF2-40B4-BE49-F238E27FC236}">
              <a16:creationId xmlns:a16="http://schemas.microsoft.com/office/drawing/2014/main" xmlns="" id="{34BB4B38-DD6D-477F-961E-DB3EEE57C2D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4" name="TextBox 1953">
          <a:extLst>
            <a:ext uri="{FF2B5EF4-FFF2-40B4-BE49-F238E27FC236}">
              <a16:creationId xmlns:a16="http://schemas.microsoft.com/office/drawing/2014/main" xmlns="" id="{7F11E098-B9A0-402C-9F61-A2F80BB40B5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5" name="TextBox 1954">
          <a:extLst>
            <a:ext uri="{FF2B5EF4-FFF2-40B4-BE49-F238E27FC236}">
              <a16:creationId xmlns:a16="http://schemas.microsoft.com/office/drawing/2014/main" xmlns="" id="{EBBBF5D9-6352-42E4-B15F-5DB07973A0A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6" name="TextBox 1955">
          <a:extLst>
            <a:ext uri="{FF2B5EF4-FFF2-40B4-BE49-F238E27FC236}">
              <a16:creationId xmlns:a16="http://schemas.microsoft.com/office/drawing/2014/main" xmlns="" id="{921DBBA8-3D9F-40E6-AF28-299AE005C31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7" name="TextBox 1956">
          <a:extLst>
            <a:ext uri="{FF2B5EF4-FFF2-40B4-BE49-F238E27FC236}">
              <a16:creationId xmlns:a16="http://schemas.microsoft.com/office/drawing/2014/main" xmlns="" id="{115C279F-F4E9-4499-9A89-FCE9FF72353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8" name="TextBox 1957">
          <a:extLst>
            <a:ext uri="{FF2B5EF4-FFF2-40B4-BE49-F238E27FC236}">
              <a16:creationId xmlns:a16="http://schemas.microsoft.com/office/drawing/2014/main" xmlns="" id="{080F6069-60D0-4DED-AA64-736F45B7637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59" name="TextBox 1958">
          <a:extLst>
            <a:ext uri="{FF2B5EF4-FFF2-40B4-BE49-F238E27FC236}">
              <a16:creationId xmlns:a16="http://schemas.microsoft.com/office/drawing/2014/main" xmlns="" id="{5C2AD1AA-470F-4305-B817-92E23E40D82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0" name="TextBox 1959">
          <a:extLst>
            <a:ext uri="{FF2B5EF4-FFF2-40B4-BE49-F238E27FC236}">
              <a16:creationId xmlns:a16="http://schemas.microsoft.com/office/drawing/2014/main" xmlns="" id="{D8192B2A-FE8E-4153-ABAE-D8A367320A1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1" name="TextBox 1960">
          <a:extLst>
            <a:ext uri="{FF2B5EF4-FFF2-40B4-BE49-F238E27FC236}">
              <a16:creationId xmlns:a16="http://schemas.microsoft.com/office/drawing/2014/main" xmlns="" id="{61E2E24D-39DD-4872-90AA-05CB3CC28A8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2" name="TextBox 1961">
          <a:extLst>
            <a:ext uri="{FF2B5EF4-FFF2-40B4-BE49-F238E27FC236}">
              <a16:creationId xmlns:a16="http://schemas.microsoft.com/office/drawing/2014/main" xmlns="" id="{396D4898-2CF2-4E5E-9634-A066F842EA0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3" name="TextBox 1962">
          <a:extLst>
            <a:ext uri="{FF2B5EF4-FFF2-40B4-BE49-F238E27FC236}">
              <a16:creationId xmlns:a16="http://schemas.microsoft.com/office/drawing/2014/main" xmlns="" id="{95F3C192-33B2-4344-A2C9-F8B7B4C31B8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4" name="TextBox 1963">
          <a:extLst>
            <a:ext uri="{FF2B5EF4-FFF2-40B4-BE49-F238E27FC236}">
              <a16:creationId xmlns:a16="http://schemas.microsoft.com/office/drawing/2014/main" xmlns="" id="{A9CDC84F-3310-4E2E-A120-F4E449D3A75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5" name="TextBox 1964">
          <a:extLst>
            <a:ext uri="{FF2B5EF4-FFF2-40B4-BE49-F238E27FC236}">
              <a16:creationId xmlns:a16="http://schemas.microsoft.com/office/drawing/2014/main" xmlns="" id="{8C4A0EC6-E7E3-4BCC-B1A9-044A7DD0CA8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6" name="TextBox 1965">
          <a:extLst>
            <a:ext uri="{FF2B5EF4-FFF2-40B4-BE49-F238E27FC236}">
              <a16:creationId xmlns:a16="http://schemas.microsoft.com/office/drawing/2014/main" xmlns="" id="{98806C98-AE0B-4F7F-A1F7-E13B73902B2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7" name="TextBox 1966">
          <a:extLst>
            <a:ext uri="{FF2B5EF4-FFF2-40B4-BE49-F238E27FC236}">
              <a16:creationId xmlns:a16="http://schemas.microsoft.com/office/drawing/2014/main" xmlns="" id="{B41BBE54-209B-47D4-BAF2-48CE91C2616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8" name="TextBox 1967">
          <a:extLst>
            <a:ext uri="{FF2B5EF4-FFF2-40B4-BE49-F238E27FC236}">
              <a16:creationId xmlns:a16="http://schemas.microsoft.com/office/drawing/2014/main" xmlns="" id="{46DDE3A4-2CDC-415B-9778-9097B289EE4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69" name="TextBox 1968">
          <a:extLst>
            <a:ext uri="{FF2B5EF4-FFF2-40B4-BE49-F238E27FC236}">
              <a16:creationId xmlns:a16="http://schemas.microsoft.com/office/drawing/2014/main" xmlns="" id="{0D0237DA-46BA-4D84-870D-7AFE94927D4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0" name="TextBox 1969">
          <a:extLst>
            <a:ext uri="{FF2B5EF4-FFF2-40B4-BE49-F238E27FC236}">
              <a16:creationId xmlns:a16="http://schemas.microsoft.com/office/drawing/2014/main" xmlns="" id="{8EFCBD32-C6A1-42D9-B6C9-FFDDAB204BA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1" name="TextBox 1970">
          <a:extLst>
            <a:ext uri="{FF2B5EF4-FFF2-40B4-BE49-F238E27FC236}">
              <a16:creationId xmlns:a16="http://schemas.microsoft.com/office/drawing/2014/main" xmlns="" id="{BCD63ED8-990F-41F3-9724-AD73E8EEA74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2" name="TextBox 1971">
          <a:extLst>
            <a:ext uri="{FF2B5EF4-FFF2-40B4-BE49-F238E27FC236}">
              <a16:creationId xmlns:a16="http://schemas.microsoft.com/office/drawing/2014/main" xmlns="" id="{6B74F553-8F69-4BBD-9EBB-0EB16B7F141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3" name="TextBox 1972">
          <a:extLst>
            <a:ext uri="{FF2B5EF4-FFF2-40B4-BE49-F238E27FC236}">
              <a16:creationId xmlns:a16="http://schemas.microsoft.com/office/drawing/2014/main" xmlns="" id="{AD002A96-927C-4ABB-813A-9AED60D34A7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4" name="TextBox 1973">
          <a:extLst>
            <a:ext uri="{FF2B5EF4-FFF2-40B4-BE49-F238E27FC236}">
              <a16:creationId xmlns:a16="http://schemas.microsoft.com/office/drawing/2014/main" xmlns="" id="{A1CB3631-95B0-409C-B2A6-5776EE10338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5" name="TextBox 1974">
          <a:extLst>
            <a:ext uri="{FF2B5EF4-FFF2-40B4-BE49-F238E27FC236}">
              <a16:creationId xmlns:a16="http://schemas.microsoft.com/office/drawing/2014/main" xmlns="" id="{DF29E702-00C7-4721-A8DD-6C84FB829F3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6" name="TextBox 1975">
          <a:extLst>
            <a:ext uri="{FF2B5EF4-FFF2-40B4-BE49-F238E27FC236}">
              <a16:creationId xmlns:a16="http://schemas.microsoft.com/office/drawing/2014/main" xmlns="" id="{B4DD5400-0560-4BDA-A6F2-8084A992B39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7" name="TextBox 1976">
          <a:extLst>
            <a:ext uri="{FF2B5EF4-FFF2-40B4-BE49-F238E27FC236}">
              <a16:creationId xmlns:a16="http://schemas.microsoft.com/office/drawing/2014/main" xmlns="" id="{DF4607F1-1F4A-43D1-AF8C-D8E67F05BDC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8" name="TextBox 1977">
          <a:extLst>
            <a:ext uri="{FF2B5EF4-FFF2-40B4-BE49-F238E27FC236}">
              <a16:creationId xmlns:a16="http://schemas.microsoft.com/office/drawing/2014/main" xmlns="" id="{A9B33B38-3998-472D-8C5A-A287809E92C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79" name="TextBox 1978">
          <a:extLst>
            <a:ext uri="{FF2B5EF4-FFF2-40B4-BE49-F238E27FC236}">
              <a16:creationId xmlns:a16="http://schemas.microsoft.com/office/drawing/2014/main" xmlns="" id="{3E3D16A3-4C70-444E-A971-54B9E976EAA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0" name="TextBox 1979">
          <a:extLst>
            <a:ext uri="{FF2B5EF4-FFF2-40B4-BE49-F238E27FC236}">
              <a16:creationId xmlns:a16="http://schemas.microsoft.com/office/drawing/2014/main" xmlns="" id="{F1425C47-31F2-4EA2-82FA-200C94A7635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1" name="TextBox 1980">
          <a:extLst>
            <a:ext uri="{FF2B5EF4-FFF2-40B4-BE49-F238E27FC236}">
              <a16:creationId xmlns:a16="http://schemas.microsoft.com/office/drawing/2014/main" xmlns="" id="{AE334D32-6ED9-4EE7-9D0F-DC1EA78043E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2" name="TextBox 1981">
          <a:extLst>
            <a:ext uri="{FF2B5EF4-FFF2-40B4-BE49-F238E27FC236}">
              <a16:creationId xmlns:a16="http://schemas.microsoft.com/office/drawing/2014/main" xmlns="" id="{12534E2F-0628-4AB4-85EF-7DB141DD0B7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3" name="TextBox 1982">
          <a:extLst>
            <a:ext uri="{FF2B5EF4-FFF2-40B4-BE49-F238E27FC236}">
              <a16:creationId xmlns:a16="http://schemas.microsoft.com/office/drawing/2014/main" xmlns="" id="{09CAFD10-C475-4AA7-93C4-CBD86A8E260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4" name="TextBox 1983">
          <a:extLst>
            <a:ext uri="{FF2B5EF4-FFF2-40B4-BE49-F238E27FC236}">
              <a16:creationId xmlns:a16="http://schemas.microsoft.com/office/drawing/2014/main" xmlns="" id="{E6C799B6-D4D5-4824-BC75-BDFCAB794B7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5" name="TextBox 1984">
          <a:extLst>
            <a:ext uri="{FF2B5EF4-FFF2-40B4-BE49-F238E27FC236}">
              <a16:creationId xmlns:a16="http://schemas.microsoft.com/office/drawing/2014/main" xmlns="" id="{FA028909-7F10-41ED-A8F1-4B439045379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6" name="TextBox 1985">
          <a:extLst>
            <a:ext uri="{FF2B5EF4-FFF2-40B4-BE49-F238E27FC236}">
              <a16:creationId xmlns:a16="http://schemas.microsoft.com/office/drawing/2014/main" xmlns="" id="{E95F69BD-6664-401B-A5CC-8891519D21E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7" name="TextBox 1986">
          <a:extLst>
            <a:ext uri="{FF2B5EF4-FFF2-40B4-BE49-F238E27FC236}">
              <a16:creationId xmlns:a16="http://schemas.microsoft.com/office/drawing/2014/main" xmlns="" id="{6DA41F87-1D0F-4D1E-9F18-545CE9D760D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8" name="TextBox 1987">
          <a:extLst>
            <a:ext uri="{FF2B5EF4-FFF2-40B4-BE49-F238E27FC236}">
              <a16:creationId xmlns:a16="http://schemas.microsoft.com/office/drawing/2014/main" xmlns="" id="{A0F12AE5-5856-450F-A829-19232DAA700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89" name="TextBox 1988">
          <a:extLst>
            <a:ext uri="{FF2B5EF4-FFF2-40B4-BE49-F238E27FC236}">
              <a16:creationId xmlns:a16="http://schemas.microsoft.com/office/drawing/2014/main" xmlns="" id="{69DF6C8F-AB4B-423C-B3AA-E5C8A3000F1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0" name="TextBox 1989">
          <a:extLst>
            <a:ext uri="{FF2B5EF4-FFF2-40B4-BE49-F238E27FC236}">
              <a16:creationId xmlns:a16="http://schemas.microsoft.com/office/drawing/2014/main" xmlns="" id="{21207E96-C560-4F69-9B51-309B4C13FC9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1" name="TextBox 1990">
          <a:extLst>
            <a:ext uri="{FF2B5EF4-FFF2-40B4-BE49-F238E27FC236}">
              <a16:creationId xmlns:a16="http://schemas.microsoft.com/office/drawing/2014/main" xmlns="" id="{F7373CD7-9F74-46B2-89CE-95C0D01FBCE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2" name="TextBox 1991">
          <a:extLst>
            <a:ext uri="{FF2B5EF4-FFF2-40B4-BE49-F238E27FC236}">
              <a16:creationId xmlns:a16="http://schemas.microsoft.com/office/drawing/2014/main" xmlns="" id="{EC4B048E-9C44-4DC3-ACAC-A9A6CA81FF3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3" name="TextBox 1992">
          <a:extLst>
            <a:ext uri="{FF2B5EF4-FFF2-40B4-BE49-F238E27FC236}">
              <a16:creationId xmlns:a16="http://schemas.microsoft.com/office/drawing/2014/main" xmlns="" id="{F463B509-87AF-498A-9571-32A7767A3E6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4" name="TextBox 1993">
          <a:extLst>
            <a:ext uri="{FF2B5EF4-FFF2-40B4-BE49-F238E27FC236}">
              <a16:creationId xmlns:a16="http://schemas.microsoft.com/office/drawing/2014/main" xmlns="" id="{CA061C51-CFC1-4634-A01F-166A303E504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5" name="TextBox 1994">
          <a:extLst>
            <a:ext uri="{FF2B5EF4-FFF2-40B4-BE49-F238E27FC236}">
              <a16:creationId xmlns:a16="http://schemas.microsoft.com/office/drawing/2014/main" xmlns="" id="{78606B34-8350-445D-88E5-D80EB5B7603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6" name="TextBox 1995">
          <a:extLst>
            <a:ext uri="{FF2B5EF4-FFF2-40B4-BE49-F238E27FC236}">
              <a16:creationId xmlns:a16="http://schemas.microsoft.com/office/drawing/2014/main" xmlns="" id="{A546D881-5216-4087-A96E-D2790960297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7" name="TextBox 1996">
          <a:extLst>
            <a:ext uri="{FF2B5EF4-FFF2-40B4-BE49-F238E27FC236}">
              <a16:creationId xmlns:a16="http://schemas.microsoft.com/office/drawing/2014/main" xmlns="" id="{60E23BA2-98AA-46D3-A17D-45953015423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8" name="TextBox 1997">
          <a:extLst>
            <a:ext uri="{FF2B5EF4-FFF2-40B4-BE49-F238E27FC236}">
              <a16:creationId xmlns:a16="http://schemas.microsoft.com/office/drawing/2014/main" xmlns="" id="{E244D02D-9AD8-42B2-8132-CE8FFF98515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1999" name="TextBox 1998">
          <a:extLst>
            <a:ext uri="{FF2B5EF4-FFF2-40B4-BE49-F238E27FC236}">
              <a16:creationId xmlns:a16="http://schemas.microsoft.com/office/drawing/2014/main" xmlns="" id="{857102B4-93DD-4671-8C4E-0D218577DB5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0" name="TextBox 1999">
          <a:extLst>
            <a:ext uri="{FF2B5EF4-FFF2-40B4-BE49-F238E27FC236}">
              <a16:creationId xmlns:a16="http://schemas.microsoft.com/office/drawing/2014/main" xmlns="" id="{50E2CFED-C2F0-4818-B36E-731A52CA7BB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1" name="TextBox 2000">
          <a:extLst>
            <a:ext uri="{FF2B5EF4-FFF2-40B4-BE49-F238E27FC236}">
              <a16:creationId xmlns:a16="http://schemas.microsoft.com/office/drawing/2014/main" xmlns="" id="{7BAD2B13-A4F0-4B27-B506-0FD3700A2F4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2" name="TextBox 2001">
          <a:extLst>
            <a:ext uri="{FF2B5EF4-FFF2-40B4-BE49-F238E27FC236}">
              <a16:creationId xmlns:a16="http://schemas.microsoft.com/office/drawing/2014/main" xmlns="" id="{2B5EF29A-8DD6-4956-9FA4-41C6AFE59B9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3" name="TextBox 2002">
          <a:extLst>
            <a:ext uri="{FF2B5EF4-FFF2-40B4-BE49-F238E27FC236}">
              <a16:creationId xmlns:a16="http://schemas.microsoft.com/office/drawing/2014/main" xmlns="" id="{583873A3-0EC1-4BF9-B835-9E3FF14A8E4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4" name="TextBox 2003">
          <a:extLst>
            <a:ext uri="{FF2B5EF4-FFF2-40B4-BE49-F238E27FC236}">
              <a16:creationId xmlns:a16="http://schemas.microsoft.com/office/drawing/2014/main" xmlns="" id="{A56376D1-1BB3-40F7-A536-0D22EB4B9F2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5" name="TextBox 2004">
          <a:extLst>
            <a:ext uri="{FF2B5EF4-FFF2-40B4-BE49-F238E27FC236}">
              <a16:creationId xmlns:a16="http://schemas.microsoft.com/office/drawing/2014/main" xmlns="" id="{B3FD1D84-805B-467F-B44E-59CF1B3BD9A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6" name="TextBox 2005">
          <a:extLst>
            <a:ext uri="{FF2B5EF4-FFF2-40B4-BE49-F238E27FC236}">
              <a16:creationId xmlns:a16="http://schemas.microsoft.com/office/drawing/2014/main" xmlns="" id="{5AD4259E-0244-4529-AB42-B2F8FAF8AF7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7" name="TextBox 2006">
          <a:extLst>
            <a:ext uri="{FF2B5EF4-FFF2-40B4-BE49-F238E27FC236}">
              <a16:creationId xmlns:a16="http://schemas.microsoft.com/office/drawing/2014/main" xmlns="" id="{FC12F722-C634-4F88-98B4-8E3F5916590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8" name="TextBox 2007">
          <a:extLst>
            <a:ext uri="{FF2B5EF4-FFF2-40B4-BE49-F238E27FC236}">
              <a16:creationId xmlns:a16="http://schemas.microsoft.com/office/drawing/2014/main" xmlns="" id="{961D2276-67D4-4FD9-B4F0-EE2ED7103DD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09" name="TextBox 2008">
          <a:extLst>
            <a:ext uri="{FF2B5EF4-FFF2-40B4-BE49-F238E27FC236}">
              <a16:creationId xmlns:a16="http://schemas.microsoft.com/office/drawing/2014/main" xmlns="" id="{24430E5E-92A1-4F12-9A2A-D733DCEBCF7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0" name="TextBox 2009">
          <a:extLst>
            <a:ext uri="{FF2B5EF4-FFF2-40B4-BE49-F238E27FC236}">
              <a16:creationId xmlns:a16="http://schemas.microsoft.com/office/drawing/2014/main" xmlns="" id="{6B7E0F23-A67E-4822-A3F2-960539B3BA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1" name="TextBox 2010">
          <a:extLst>
            <a:ext uri="{FF2B5EF4-FFF2-40B4-BE49-F238E27FC236}">
              <a16:creationId xmlns:a16="http://schemas.microsoft.com/office/drawing/2014/main" xmlns="" id="{62B48765-F7BF-4F57-9C34-9289FC2AF5C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2" name="TextBox 2011">
          <a:extLst>
            <a:ext uri="{FF2B5EF4-FFF2-40B4-BE49-F238E27FC236}">
              <a16:creationId xmlns:a16="http://schemas.microsoft.com/office/drawing/2014/main" xmlns="" id="{2A8EBC7D-E774-4C26-BBD6-3FA85280E99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3" name="TextBox 2012">
          <a:extLst>
            <a:ext uri="{FF2B5EF4-FFF2-40B4-BE49-F238E27FC236}">
              <a16:creationId xmlns:a16="http://schemas.microsoft.com/office/drawing/2014/main" xmlns="" id="{D09DF176-BBEB-4178-BF54-788F981AE79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4" name="TextBox 2013">
          <a:extLst>
            <a:ext uri="{FF2B5EF4-FFF2-40B4-BE49-F238E27FC236}">
              <a16:creationId xmlns:a16="http://schemas.microsoft.com/office/drawing/2014/main" xmlns="" id="{C00BDAE5-DBD1-4AEB-AAEC-AE7A80B58DE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5" name="TextBox 2014">
          <a:extLst>
            <a:ext uri="{FF2B5EF4-FFF2-40B4-BE49-F238E27FC236}">
              <a16:creationId xmlns:a16="http://schemas.microsoft.com/office/drawing/2014/main" xmlns="" id="{BD69DA2B-A0C4-4F0A-B819-94EC19C84ED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6" name="TextBox 2015">
          <a:extLst>
            <a:ext uri="{FF2B5EF4-FFF2-40B4-BE49-F238E27FC236}">
              <a16:creationId xmlns:a16="http://schemas.microsoft.com/office/drawing/2014/main" xmlns="" id="{2F8F8DC9-FBA7-4C74-83C3-F800177440D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7" name="TextBox 2016">
          <a:extLst>
            <a:ext uri="{FF2B5EF4-FFF2-40B4-BE49-F238E27FC236}">
              <a16:creationId xmlns:a16="http://schemas.microsoft.com/office/drawing/2014/main" xmlns="" id="{DD295FA9-7140-4099-8702-58DC1D288AF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8" name="TextBox 2017">
          <a:extLst>
            <a:ext uri="{FF2B5EF4-FFF2-40B4-BE49-F238E27FC236}">
              <a16:creationId xmlns:a16="http://schemas.microsoft.com/office/drawing/2014/main" xmlns="" id="{FC930952-F5EB-4A55-A2D1-3420CDB76B4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19" name="TextBox 2018">
          <a:extLst>
            <a:ext uri="{FF2B5EF4-FFF2-40B4-BE49-F238E27FC236}">
              <a16:creationId xmlns:a16="http://schemas.microsoft.com/office/drawing/2014/main" xmlns="" id="{484B23E6-ABF6-4FF9-A0D9-5B25B6A3175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0" name="TextBox 2019">
          <a:extLst>
            <a:ext uri="{FF2B5EF4-FFF2-40B4-BE49-F238E27FC236}">
              <a16:creationId xmlns:a16="http://schemas.microsoft.com/office/drawing/2014/main" xmlns="" id="{D0EF534D-D699-40CF-9359-F432E4E44DD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1" name="TextBox 2020">
          <a:extLst>
            <a:ext uri="{FF2B5EF4-FFF2-40B4-BE49-F238E27FC236}">
              <a16:creationId xmlns:a16="http://schemas.microsoft.com/office/drawing/2014/main" xmlns="" id="{B5236651-2708-41E3-BD23-D0D2E7F6A8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2" name="TextBox 2021">
          <a:extLst>
            <a:ext uri="{FF2B5EF4-FFF2-40B4-BE49-F238E27FC236}">
              <a16:creationId xmlns:a16="http://schemas.microsoft.com/office/drawing/2014/main" xmlns="" id="{BACC86D3-C32F-4A46-B464-9D92221CA96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3" name="TextBox 2022">
          <a:extLst>
            <a:ext uri="{FF2B5EF4-FFF2-40B4-BE49-F238E27FC236}">
              <a16:creationId xmlns:a16="http://schemas.microsoft.com/office/drawing/2014/main" xmlns="" id="{DFAF04CC-82A3-450E-9C11-C6F8ED39432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4" name="TextBox 2023">
          <a:extLst>
            <a:ext uri="{FF2B5EF4-FFF2-40B4-BE49-F238E27FC236}">
              <a16:creationId xmlns:a16="http://schemas.microsoft.com/office/drawing/2014/main" xmlns="" id="{B1F51C54-6036-4767-9149-EC20E4CEA5B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5" name="TextBox 2024">
          <a:extLst>
            <a:ext uri="{FF2B5EF4-FFF2-40B4-BE49-F238E27FC236}">
              <a16:creationId xmlns:a16="http://schemas.microsoft.com/office/drawing/2014/main" xmlns="" id="{11EA2D8F-819D-4CE8-B1C3-B4DB913A0B6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6" name="TextBox 2025">
          <a:extLst>
            <a:ext uri="{FF2B5EF4-FFF2-40B4-BE49-F238E27FC236}">
              <a16:creationId xmlns:a16="http://schemas.microsoft.com/office/drawing/2014/main" xmlns="" id="{85BC4FD7-BC11-42E8-81B5-62037A85986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7" name="TextBox 2026">
          <a:extLst>
            <a:ext uri="{FF2B5EF4-FFF2-40B4-BE49-F238E27FC236}">
              <a16:creationId xmlns:a16="http://schemas.microsoft.com/office/drawing/2014/main" xmlns="" id="{E86607FF-F8F5-4F8E-B766-D138AF3565A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8" name="TextBox 2027">
          <a:extLst>
            <a:ext uri="{FF2B5EF4-FFF2-40B4-BE49-F238E27FC236}">
              <a16:creationId xmlns:a16="http://schemas.microsoft.com/office/drawing/2014/main" xmlns="" id="{890F2275-D7D3-42FB-8943-02BAEA6F29D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29" name="TextBox 2028">
          <a:extLst>
            <a:ext uri="{FF2B5EF4-FFF2-40B4-BE49-F238E27FC236}">
              <a16:creationId xmlns:a16="http://schemas.microsoft.com/office/drawing/2014/main" xmlns="" id="{4B665043-1466-4116-B292-A177E21290C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0" name="TextBox 2029">
          <a:extLst>
            <a:ext uri="{FF2B5EF4-FFF2-40B4-BE49-F238E27FC236}">
              <a16:creationId xmlns:a16="http://schemas.microsoft.com/office/drawing/2014/main" xmlns="" id="{2355E05E-D9A1-457A-93EF-53824092A81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1" name="TextBox 2030">
          <a:extLst>
            <a:ext uri="{FF2B5EF4-FFF2-40B4-BE49-F238E27FC236}">
              <a16:creationId xmlns:a16="http://schemas.microsoft.com/office/drawing/2014/main" xmlns="" id="{E3304A6D-6E18-4D88-9B82-B239AB235E6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2" name="TextBox 2031">
          <a:extLst>
            <a:ext uri="{FF2B5EF4-FFF2-40B4-BE49-F238E27FC236}">
              <a16:creationId xmlns:a16="http://schemas.microsoft.com/office/drawing/2014/main" xmlns="" id="{0F703C06-6564-4F59-81ED-6B469CAE3BE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3" name="TextBox 2032">
          <a:extLst>
            <a:ext uri="{FF2B5EF4-FFF2-40B4-BE49-F238E27FC236}">
              <a16:creationId xmlns:a16="http://schemas.microsoft.com/office/drawing/2014/main" xmlns="" id="{2CE2B1CC-683A-4ABC-9341-0153230651A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4" name="TextBox 2033">
          <a:extLst>
            <a:ext uri="{FF2B5EF4-FFF2-40B4-BE49-F238E27FC236}">
              <a16:creationId xmlns:a16="http://schemas.microsoft.com/office/drawing/2014/main" xmlns="" id="{85D7C579-6FB4-407F-B9DD-E57AF5FBC93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5" name="TextBox 2034">
          <a:extLst>
            <a:ext uri="{FF2B5EF4-FFF2-40B4-BE49-F238E27FC236}">
              <a16:creationId xmlns:a16="http://schemas.microsoft.com/office/drawing/2014/main" xmlns="" id="{8CBB1CE9-CC61-4E27-A014-1C3509CB91E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6" name="TextBox 2035">
          <a:extLst>
            <a:ext uri="{FF2B5EF4-FFF2-40B4-BE49-F238E27FC236}">
              <a16:creationId xmlns:a16="http://schemas.microsoft.com/office/drawing/2014/main" xmlns="" id="{E776B5A1-2F12-4146-B17C-FD3270AB6E2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7" name="TextBox 2036">
          <a:extLst>
            <a:ext uri="{FF2B5EF4-FFF2-40B4-BE49-F238E27FC236}">
              <a16:creationId xmlns:a16="http://schemas.microsoft.com/office/drawing/2014/main" xmlns="" id="{A862A06F-DF95-4A5A-BA0C-D9B718AA515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8" name="TextBox 2037">
          <a:extLst>
            <a:ext uri="{FF2B5EF4-FFF2-40B4-BE49-F238E27FC236}">
              <a16:creationId xmlns:a16="http://schemas.microsoft.com/office/drawing/2014/main" xmlns="" id="{3CFDCEF3-FF85-46E3-B0D8-BC70E1C31C6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39" name="TextBox 2038">
          <a:extLst>
            <a:ext uri="{FF2B5EF4-FFF2-40B4-BE49-F238E27FC236}">
              <a16:creationId xmlns:a16="http://schemas.microsoft.com/office/drawing/2014/main" xmlns="" id="{0628E848-0911-4BEB-B73B-4E08D2AC3F7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0" name="TextBox 2039">
          <a:extLst>
            <a:ext uri="{FF2B5EF4-FFF2-40B4-BE49-F238E27FC236}">
              <a16:creationId xmlns:a16="http://schemas.microsoft.com/office/drawing/2014/main" xmlns="" id="{E512F6BE-9BBB-4EA9-A934-C68A8B7C020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1" name="TextBox 2040">
          <a:extLst>
            <a:ext uri="{FF2B5EF4-FFF2-40B4-BE49-F238E27FC236}">
              <a16:creationId xmlns:a16="http://schemas.microsoft.com/office/drawing/2014/main" xmlns="" id="{84D22529-E2B8-445F-A1F0-5B3A6ADF81A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2" name="TextBox 2041">
          <a:extLst>
            <a:ext uri="{FF2B5EF4-FFF2-40B4-BE49-F238E27FC236}">
              <a16:creationId xmlns:a16="http://schemas.microsoft.com/office/drawing/2014/main" xmlns="" id="{01405F56-E370-4740-9EF7-BE63DF0AA8A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3" name="TextBox 2042">
          <a:extLst>
            <a:ext uri="{FF2B5EF4-FFF2-40B4-BE49-F238E27FC236}">
              <a16:creationId xmlns:a16="http://schemas.microsoft.com/office/drawing/2014/main" xmlns="" id="{5FF08549-FC3D-4652-A415-3EF1469730A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4" name="TextBox 2043">
          <a:extLst>
            <a:ext uri="{FF2B5EF4-FFF2-40B4-BE49-F238E27FC236}">
              <a16:creationId xmlns:a16="http://schemas.microsoft.com/office/drawing/2014/main" xmlns="" id="{F6921379-D11D-4664-B189-659AEFDBBD0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5" name="TextBox 2044">
          <a:extLst>
            <a:ext uri="{FF2B5EF4-FFF2-40B4-BE49-F238E27FC236}">
              <a16:creationId xmlns:a16="http://schemas.microsoft.com/office/drawing/2014/main" xmlns="" id="{55B3C01B-32B3-47E3-8363-BD5028D7079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6" name="TextBox 2045">
          <a:extLst>
            <a:ext uri="{FF2B5EF4-FFF2-40B4-BE49-F238E27FC236}">
              <a16:creationId xmlns:a16="http://schemas.microsoft.com/office/drawing/2014/main" xmlns="" id="{7F1FC57F-98BF-47F4-BAE2-421EACB8F02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7" name="TextBox 2046">
          <a:extLst>
            <a:ext uri="{FF2B5EF4-FFF2-40B4-BE49-F238E27FC236}">
              <a16:creationId xmlns:a16="http://schemas.microsoft.com/office/drawing/2014/main" xmlns="" id="{B0E1766E-6F9D-4611-8ECC-CC1EE63CAFB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8" name="TextBox 2047">
          <a:extLst>
            <a:ext uri="{FF2B5EF4-FFF2-40B4-BE49-F238E27FC236}">
              <a16:creationId xmlns:a16="http://schemas.microsoft.com/office/drawing/2014/main" xmlns="" id="{480B0304-6AA3-4155-B583-D50153CFB39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49" name="TextBox 2048">
          <a:extLst>
            <a:ext uri="{FF2B5EF4-FFF2-40B4-BE49-F238E27FC236}">
              <a16:creationId xmlns:a16="http://schemas.microsoft.com/office/drawing/2014/main" xmlns="" id="{B42ED676-9B39-4D4D-85BA-64F1DD281DC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0" name="TextBox 2049">
          <a:extLst>
            <a:ext uri="{FF2B5EF4-FFF2-40B4-BE49-F238E27FC236}">
              <a16:creationId xmlns:a16="http://schemas.microsoft.com/office/drawing/2014/main" xmlns="" id="{9E2F30BC-E46C-4A9C-9816-7A2B92C315A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1" name="TextBox 2050">
          <a:extLst>
            <a:ext uri="{FF2B5EF4-FFF2-40B4-BE49-F238E27FC236}">
              <a16:creationId xmlns:a16="http://schemas.microsoft.com/office/drawing/2014/main" xmlns="" id="{4F94B298-D838-4FBC-B705-35CD2ADEA5B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2" name="TextBox 2051">
          <a:extLst>
            <a:ext uri="{FF2B5EF4-FFF2-40B4-BE49-F238E27FC236}">
              <a16:creationId xmlns:a16="http://schemas.microsoft.com/office/drawing/2014/main" xmlns="" id="{3ADA6934-092D-4BB2-B76C-E2305180AB3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3" name="TextBox 2052">
          <a:extLst>
            <a:ext uri="{FF2B5EF4-FFF2-40B4-BE49-F238E27FC236}">
              <a16:creationId xmlns:a16="http://schemas.microsoft.com/office/drawing/2014/main" xmlns="" id="{C2FCA4CC-EAAE-41A1-8FF2-512592475AA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4" name="TextBox 2053">
          <a:extLst>
            <a:ext uri="{FF2B5EF4-FFF2-40B4-BE49-F238E27FC236}">
              <a16:creationId xmlns:a16="http://schemas.microsoft.com/office/drawing/2014/main" xmlns="" id="{2D8254EB-B76F-485A-AB39-10DD416F660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5" name="TextBox 2054">
          <a:extLst>
            <a:ext uri="{FF2B5EF4-FFF2-40B4-BE49-F238E27FC236}">
              <a16:creationId xmlns:a16="http://schemas.microsoft.com/office/drawing/2014/main" xmlns="" id="{0C0F2D1C-87CD-4F14-B5BB-83FA60656CD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6" name="TextBox 2055">
          <a:extLst>
            <a:ext uri="{FF2B5EF4-FFF2-40B4-BE49-F238E27FC236}">
              <a16:creationId xmlns:a16="http://schemas.microsoft.com/office/drawing/2014/main" xmlns="" id="{67E9E02A-8CCA-43E3-B30F-A81E60C42FB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7" name="TextBox 2056">
          <a:extLst>
            <a:ext uri="{FF2B5EF4-FFF2-40B4-BE49-F238E27FC236}">
              <a16:creationId xmlns:a16="http://schemas.microsoft.com/office/drawing/2014/main" xmlns="" id="{BF01C231-0E1B-48EA-BDF6-60356C49195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8" name="TextBox 2057">
          <a:extLst>
            <a:ext uri="{FF2B5EF4-FFF2-40B4-BE49-F238E27FC236}">
              <a16:creationId xmlns:a16="http://schemas.microsoft.com/office/drawing/2014/main" xmlns="" id="{854B3784-C526-4A47-BA97-84112185ED5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59" name="TextBox 2058">
          <a:extLst>
            <a:ext uri="{FF2B5EF4-FFF2-40B4-BE49-F238E27FC236}">
              <a16:creationId xmlns:a16="http://schemas.microsoft.com/office/drawing/2014/main" xmlns="" id="{96109238-1340-423D-B768-198EB50BB92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0" name="TextBox 2059">
          <a:extLst>
            <a:ext uri="{FF2B5EF4-FFF2-40B4-BE49-F238E27FC236}">
              <a16:creationId xmlns:a16="http://schemas.microsoft.com/office/drawing/2014/main" xmlns="" id="{A71A8947-F53C-47B7-AEA2-0CCB5F50B95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1" name="TextBox 2060">
          <a:extLst>
            <a:ext uri="{FF2B5EF4-FFF2-40B4-BE49-F238E27FC236}">
              <a16:creationId xmlns:a16="http://schemas.microsoft.com/office/drawing/2014/main" xmlns="" id="{41508D60-AE1F-4A51-924E-65B174D5701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2" name="TextBox 2061">
          <a:extLst>
            <a:ext uri="{FF2B5EF4-FFF2-40B4-BE49-F238E27FC236}">
              <a16:creationId xmlns:a16="http://schemas.microsoft.com/office/drawing/2014/main" xmlns="" id="{D58F5FEB-EFAE-4971-9468-765FC93C489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3" name="TextBox 2062">
          <a:extLst>
            <a:ext uri="{FF2B5EF4-FFF2-40B4-BE49-F238E27FC236}">
              <a16:creationId xmlns:a16="http://schemas.microsoft.com/office/drawing/2014/main" xmlns="" id="{28074D0C-9A12-49B3-A60A-2CC03FE7619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4" name="TextBox 2063">
          <a:extLst>
            <a:ext uri="{FF2B5EF4-FFF2-40B4-BE49-F238E27FC236}">
              <a16:creationId xmlns:a16="http://schemas.microsoft.com/office/drawing/2014/main" xmlns="" id="{29BD42D9-3F88-40FF-8150-BA0563C6F9B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5" name="TextBox 2064">
          <a:extLst>
            <a:ext uri="{FF2B5EF4-FFF2-40B4-BE49-F238E27FC236}">
              <a16:creationId xmlns:a16="http://schemas.microsoft.com/office/drawing/2014/main" xmlns="" id="{F6FC1E27-5BC5-4C43-93F0-E32BB1CBEB7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6" name="TextBox 2065">
          <a:extLst>
            <a:ext uri="{FF2B5EF4-FFF2-40B4-BE49-F238E27FC236}">
              <a16:creationId xmlns:a16="http://schemas.microsoft.com/office/drawing/2014/main" xmlns="" id="{7A571607-6D5F-44DC-A744-35550964783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7" name="TextBox 2066">
          <a:extLst>
            <a:ext uri="{FF2B5EF4-FFF2-40B4-BE49-F238E27FC236}">
              <a16:creationId xmlns:a16="http://schemas.microsoft.com/office/drawing/2014/main" xmlns="" id="{9990F6D4-85EF-46F3-A6AC-9A619A055C9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8" name="TextBox 2067">
          <a:extLst>
            <a:ext uri="{FF2B5EF4-FFF2-40B4-BE49-F238E27FC236}">
              <a16:creationId xmlns:a16="http://schemas.microsoft.com/office/drawing/2014/main" xmlns="" id="{27DD720F-E448-4738-83DC-486DD0A5A19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69" name="TextBox 2068">
          <a:extLst>
            <a:ext uri="{FF2B5EF4-FFF2-40B4-BE49-F238E27FC236}">
              <a16:creationId xmlns:a16="http://schemas.microsoft.com/office/drawing/2014/main" xmlns="" id="{70993413-19C1-4E0E-A9FB-35885AA2275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0" name="TextBox 2069">
          <a:extLst>
            <a:ext uri="{FF2B5EF4-FFF2-40B4-BE49-F238E27FC236}">
              <a16:creationId xmlns:a16="http://schemas.microsoft.com/office/drawing/2014/main" xmlns="" id="{62E818FA-6357-4B62-B4B1-A789CD50F61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1" name="TextBox 2070">
          <a:extLst>
            <a:ext uri="{FF2B5EF4-FFF2-40B4-BE49-F238E27FC236}">
              <a16:creationId xmlns:a16="http://schemas.microsoft.com/office/drawing/2014/main" xmlns="" id="{27D52131-62B1-47DF-AACC-3F39278D5BF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2" name="TextBox 2071">
          <a:extLst>
            <a:ext uri="{FF2B5EF4-FFF2-40B4-BE49-F238E27FC236}">
              <a16:creationId xmlns:a16="http://schemas.microsoft.com/office/drawing/2014/main" xmlns="" id="{E2D27A14-0050-4F77-B8B7-88381E17E34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3" name="TextBox 2072">
          <a:extLst>
            <a:ext uri="{FF2B5EF4-FFF2-40B4-BE49-F238E27FC236}">
              <a16:creationId xmlns:a16="http://schemas.microsoft.com/office/drawing/2014/main" xmlns="" id="{945DB364-F880-4F3A-92B4-E631F05A688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4" name="TextBox 2073">
          <a:extLst>
            <a:ext uri="{FF2B5EF4-FFF2-40B4-BE49-F238E27FC236}">
              <a16:creationId xmlns:a16="http://schemas.microsoft.com/office/drawing/2014/main" xmlns="" id="{215DB5E5-DA9C-4B86-8E97-48C0E9D721E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5" name="TextBox 2074">
          <a:extLst>
            <a:ext uri="{FF2B5EF4-FFF2-40B4-BE49-F238E27FC236}">
              <a16:creationId xmlns:a16="http://schemas.microsoft.com/office/drawing/2014/main" xmlns="" id="{B9E13F41-F304-4AFA-A62A-6312B0F252A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6" name="TextBox 2075">
          <a:extLst>
            <a:ext uri="{FF2B5EF4-FFF2-40B4-BE49-F238E27FC236}">
              <a16:creationId xmlns:a16="http://schemas.microsoft.com/office/drawing/2014/main" xmlns="" id="{4ED3FB0F-BB55-4050-8050-7D1A0684797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7" name="TextBox 2076">
          <a:extLst>
            <a:ext uri="{FF2B5EF4-FFF2-40B4-BE49-F238E27FC236}">
              <a16:creationId xmlns:a16="http://schemas.microsoft.com/office/drawing/2014/main" xmlns="" id="{DCD54716-4308-43C5-A94E-E6017A681904}"/>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8" name="TextBox 2077">
          <a:extLst>
            <a:ext uri="{FF2B5EF4-FFF2-40B4-BE49-F238E27FC236}">
              <a16:creationId xmlns:a16="http://schemas.microsoft.com/office/drawing/2014/main" xmlns="" id="{D3D1632D-835B-44FA-BF56-41529FCB809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79" name="TextBox 2078">
          <a:extLst>
            <a:ext uri="{FF2B5EF4-FFF2-40B4-BE49-F238E27FC236}">
              <a16:creationId xmlns:a16="http://schemas.microsoft.com/office/drawing/2014/main" xmlns="" id="{18C3D593-97AD-44AB-9B4E-83B428A9BDA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0" name="TextBox 2079">
          <a:extLst>
            <a:ext uri="{FF2B5EF4-FFF2-40B4-BE49-F238E27FC236}">
              <a16:creationId xmlns:a16="http://schemas.microsoft.com/office/drawing/2014/main" xmlns="" id="{3048A0E1-26F9-4B6B-A069-B5D6B0884F9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1" name="TextBox 2080">
          <a:extLst>
            <a:ext uri="{FF2B5EF4-FFF2-40B4-BE49-F238E27FC236}">
              <a16:creationId xmlns:a16="http://schemas.microsoft.com/office/drawing/2014/main" xmlns="" id="{798DFB98-1D9D-4B11-8EAB-63EEB15468D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2" name="TextBox 2081">
          <a:extLst>
            <a:ext uri="{FF2B5EF4-FFF2-40B4-BE49-F238E27FC236}">
              <a16:creationId xmlns:a16="http://schemas.microsoft.com/office/drawing/2014/main" xmlns="" id="{EDB87F08-7F16-4BA2-B0C2-E13B51A09471}"/>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3" name="TextBox 2082">
          <a:extLst>
            <a:ext uri="{FF2B5EF4-FFF2-40B4-BE49-F238E27FC236}">
              <a16:creationId xmlns:a16="http://schemas.microsoft.com/office/drawing/2014/main" xmlns="" id="{16F1E4B4-8C52-4EA1-AF71-6DC1E370A65E}"/>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4" name="TextBox 2083">
          <a:extLst>
            <a:ext uri="{FF2B5EF4-FFF2-40B4-BE49-F238E27FC236}">
              <a16:creationId xmlns:a16="http://schemas.microsoft.com/office/drawing/2014/main" xmlns="" id="{A4BDB974-B871-4326-A8AF-93E38D8D99B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5" name="TextBox 2084">
          <a:extLst>
            <a:ext uri="{FF2B5EF4-FFF2-40B4-BE49-F238E27FC236}">
              <a16:creationId xmlns:a16="http://schemas.microsoft.com/office/drawing/2014/main" xmlns="" id="{6E9B57D2-5F78-40D5-8A86-7EC83E382C3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6" name="TextBox 2085">
          <a:extLst>
            <a:ext uri="{FF2B5EF4-FFF2-40B4-BE49-F238E27FC236}">
              <a16:creationId xmlns:a16="http://schemas.microsoft.com/office/drawing/2014/main" xmlns="" id="{08D8C101-46E7-42B0-BE05-B617681A2B4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7" name="TextBox 2086">
          <a:extLst>
            <a:ext uri="{FF2B5EF4-FFF2-40B4-BE49-F238E27FC236}">
              <a16:creationId xmlns:a16="http://schemas.microsoft.com/office/drawing/2014/main" xmlns="" id="{624EFF98-5998-418C-8B3F-15CAD223124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8" name="TextBox 2087">
          <a:extLst>
            <a:ext uri="{FF2B5EF4-FFF2-40B4-BE49-F238E27FC236}">
              <a16:creationId xmlns:a16="http://schemas.microsoft.com/office/drawing/2014/main" xmlns="" id="{C9C8BC43-7116-4604-9978-3C9C0D820AB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89" name="TextBox 2088">
          <a:extLst>
            <a:ext uri="{FF2B5EF4-FFF2-40B4-BE49-F238E27FC236}">
              <a16:creationId xmlns:a16="http://schemas.microsoft.com/office/drawing/2014/main" xmlns="" id="{83362F54-7D51-44DF-868E-54E21B1F7F2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0" name="TextBox 2089">
          <a:extLst>
            <a:ext uri="{FF2B5EF4-FFF2-40B4-BE49-F238E27FC236}">
              <a16:creationId xmlns:a16="http://schemas.microsoft.com/office/drawing/2014/main" xmlns="" id="{C260C4DB-1D5F-4438-84AD-0047E694F70D}"/>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1" name="TextBox 2090">
          <a:extLst>
            <a:ext uri="{FF2B5EF4-FFF2-40B4-BE49-F238E27FC236}">
              <a16:creationId xmlns:a16="http://schemas.microsoft.com/office/drawing/2014/main" xmlns="" id="{60C65FEE-7C7A-438F-A711-CA9CF13FAE4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2" name="TextBox 2091">
          <a:extLst>
            <a:ext uri="{FF2B5EF4-FFF2-40B4-BE49-F238E27FC236}">
              <a16:creationId xmlns:a16="http://schemas.microsoft.com/office/drawing/2014/main" xmlns="" id="{C7A80547-6907-4307-A7DD-FB1B8067EB9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3" name="TextBox 2092">
          <a:extLst>
            <a:ext uri="{FF2B5EF4-FFF2-40B4-BE49-F238E27FC236}">
              <a16:creationId xmlns:a16="http://schemas.microsoft.com/office/drawing/2014/main" xmlns="" id="{CBDAD1FC-DFBE-4C26-9FCD-7A9E279960D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4" name="TextBox 2093">
          <a:extLst>
            <a:ext uri="{FF2B5EF4-FFF2-40B4-BE49-F238E27FC236}">
              <a16:creationId xmlns:a16="http://schemas.microsoft.com/office/drawing/2014/main" xmlns="" id="{CE04A4B2-23AC-4D0B-B8B4-44125D684555}"/>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5" name="TextBox 2094">
          <a:extLst>
            <a:ext uri="{FF2B5EF4-FFF2-40B4-BE49-F238E27FC236}">
              <a16:creationId xmlns:a16="http://schemas.microsoft.com/office/drawing/2014/main" xmlns="" id="{1A16E369-6F91-4C81-98A3-5BED57AD7DA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6" name="TextBox 2095">
          <a:extLst>
            <a:ext uri="{FF2B5EF4-FFF2-40B4-BE49-F238E27FC236}">
              <a16:creationId xmlns:a16="http://schemas.microsoft.com/office/drawing/2014/main" xmlns="" id="{734E1403-21BC-473E-BD5D-3A9B8EA55EF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7" name="TextBox 2096">
          <a:extLst>
            <a:ext uri="{FF2B5EF4-FFF2-40B4-BE49-F238E27FC236}">
              <a16:creationId xmlns:a16="http://schemas.microsoft.com/office/drawing/2014/main" xmlns="" id="{2837174E-D25D-4CDC-AC90-5C7507BAF53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8" name="TextBox 2097">
          <a:extLst>
            <a:ext uri="{FF2B5EF4-FFF2-40B4-BE49-F238E27FC236}">
              <a16:creationId xmlns:a16="http://schemas.microsoft.com/office/drawing/2014/main" xmlns="" id="{C422EA2B-9B70-409C-86BA-C15BFDD7F7C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099" name="TextBox 2098">
          <a:extLst>
            <a:ext uri="{FF2B5EF4-FFF2-40B4-BE49-F238E27FC236}">
              <a16:creationId xmlns:a16="http://schemas.microsoft.com/office/drawing/2014/main" xmlns="" id="{2A027E75-076A-41B9-B396-C2B0EDEE254C}"/>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0" name="TextBox 2099">
          <a:extLst>
            <a:ext uri="{FF2B5EF4-FFF2-40B4-BE49-F238E27FC236}">
              <a16:creationId xmlns:a16="http://schemas.microsoft.com/office/drawing/2014/main" xmlns="" id="{64F5F3D3-5402-4A24-8E47-55336FDD1832}"/>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1" name="TextBox 2100">
          <a:extLst>
            <a:ext uri="{FF2B5EF4-FFF2-40B4-BE49-F238E27FC236}">
              <a16:creationId xmlns:a16="http://schemas.microsoft.com/office/drawing/2014/main" xmlns="" id="{C5B88AB2-C4A3-4A06-A484-A6BF6BDFB7CB}"/>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2" name="TextBox 2101">
          <a:extLst>
            <a:ext uri="{FF2B5EF4-FFF2-40B4-BE49-F238E27FC236}">
              <a16:creationId xmlns:a16="http://schemas.microsoft.com/office/drawing/2014/main" xmlns="" id="{B5665D2A-E771-4C90-9AA5-6A0ECEA73C2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3" name="TextBox 2102">
          <a:extLst>
            <a:ext uri="{FF2B5EF4-FFF2-40B4-BE49-F238E27FC236}">
              <a16:creationId xmlns:a16="http://schemas.microsoft.com/office/drawing/2014/main" xmlns="" id="{5DBE2BAE-342F-42F0-A07F-3E05CE77525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4" name="TextBox 2103">
          <a:extLst>
            <a:ext uri="{FF2B5EF4-FFF2-40B4-BE49-F238E27FC236}">
              <a16:creationId xmlns:a16="http://schemas.microsoft.com/office/drawing/2014/main" xmlns="" id="{DAACD6AD-9D30-4C0F-805C-250D4C62BDC3}"/>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5" name="TextBox 2104">
          <a:extLst>
            <a:ext uri="{FF2B5EF4-FFF2-40B4-BE49-F238E27FC236}">
              <a16:creationId xmlns:a16="http://schemas.microsoft.com/office/drawing/2014/main" xmlns="" id="{76F0341C-BDEA-47BA-8BEF-4B9A4F598B90}"/>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6" name="TextBox 2105">
          <a:extLst>
            <a:ext uri="{FF2B5EF4-FFF2-40B4-BE49-F238E27FC236}">
              <a16:creationId xmlns:a16="http://schemas.microsoft.com/office/drawing/2014/main" xmlns="" id="{997D01BD-BCCD-406D-BCCF-07E3BA6C5F3A}"/>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7" name="TextBox 2106">
          <a:extLst>
            <a:ext uri="{FF2B5EF4-FFF2-40B4-BE49-F238E27FC236}">
              <a16:creationId xmlns:a16="http://schemas.microsoft.com/office/drawing/2014/main" xmlns="" id="{F793E5C6-9174-47AF-8E24-61B6FCEDE9F7}"/>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8" name="TextBox 2107">
          <a:extLst>
            <a:ext uri="{FF2B5EF4-FFF2-40B4-BE49-F238E27FC236}">
              <a16:creationId xmlns:a16="http://schemas.microsoft.com/office/drawing/2014/main" xmlns="" id="{E9480376-6077-4C8F-9526-7D18ECD6A3A9}"/>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09" name="TextBox 2108">
          <a:extLst>
            <a:ext uri="{FF2B5EF4-FFF2-40B4-BE49-F238E27FC236}">
              <a16:creationId xmlns:a16="http://schemas.microsoft.com/office/drawing/2014/main" xmlns="" id="{E3352434-DAE2-4126-BCB4-5DA02DA76E16}"/>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10" name="TextBox 2109">
          <a:extLst>
            <a:ext uri="{FF2B5EF4-FFF2-40B4-BE49-F238E27FC236}">
              <a16:creationId xmlns:a16="http://schemas.microsoft.com/office/drawing/2014/main" xmlns="" id="{714C153B-C364-44A2-9891-496C403E6E68}"/>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2676</xdr:colOff>
      <xdr:row>188</xdr:row>
      <xdr:rowOff>0</xdr:rowOff>
    </xdr:from>
    <xdr:ext cx="65" cy="172227"/>
    <xdr:sp macro="" textlink="">
      <xdr:nvSpPr>
        <xdr:cNvPr id="2111" name="TextBox 2110">
          <a:extLst>
            <a:ext uri="{FF2B5EF4-FFF2-40B4-BE49-F238E27FC236}">
              <a16:creationId xmlns:a16="http://schemas.microsoft.com/office/drawing/2014/main" xmlns="" id="{BCCE91B0-8322-4EF4-8AB6-BD1C0D4AE0FF}"/>
            </a:ext>
          </a:extLst>
        </xdr:cNvPr>
        <xdr:cNvSpPr txBox="1"/>
      </xdr:nvSpPr>
      <xdr:spPr>
        <a:xfrm>
          <a:off x="7584576" y="76800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O78"/>
  <sheetViews>
    <sheetView showGridLines="0" view="pageBreakPreview" zoomScaleNormal="100" zoomScaleSheetLayoutView="100" workbookViewId="0"/>
  </sheetViews>
  <sheetFormatPr defaultRowHeight="15.75" x14ac:dyDescent="0.25"/>
  <cols>
    <col min="1" max="1" width="8.88671875" style="163"/>
    <col min="2" max="2" width="21.5546875" style="163" customWidth="1"/>
    <col min="3" max="3" width="43.33203125" style="163" bestFit="1" customWidth="1"/>
    <col min="4" max="4" width="7.44140625" style="163" customWidth="1"/>
    <col min="5" max="5" width="19.33203125" style="163" customWidth="1"/>
    <col min="6" max="6" width="8.88671875" style="163"/>
    <col min="7" max="7" width="9.6640625" style="163" bestFit="1" customWidth="1"/>
    <col min="8" max="16384" width="8.88671875" style="163"/>
  </cols>
  <sheetData>
    <row r="1" spans="1:15" ht="16.5" thickBot="1" x14ac:dyDescent="0.3">
      <c r="A1" s="192"/>
      <c r="B1" s="193"/>
      <c r="C1" s="851"/>
      <c r="D1" s="193"/>
      <c r="E1" s="194"/>
      <c r="F1" s="195"/>
      <c r="G1" s="161"/>
      <c r="H1" s="161"/>
      <c r="I1" s="161"/>
      <c r="J1" s="161"/>
      <c r="K1" s="161"/>
      <c r="L1" s="161"/>
      <c r="M1" s="161"/>
    </row>
    <row r="2" spans="1:15" x14ac:dyDescent="0.25">
      <c r="A2" s="160"/>
      <c r="B2" s="164" t="s">
        <v>7</v>
      </c>
      <c r="C2" s="165"/>
      <c r="D2" s="166"/>
      <c r="E2" s="167"/>
      <c r="F2" s="162"/>
      <c r="G2" s="161"/>
      <c r="H2" s="161"/>
      <c r="I2" s="161"/>
      <c r="J2" s="161"/>
      <c r="K2" s="168"/>
      <c r="L2" s="168"/>
      <c r="M2" s="168"/>
      <c r="N2" s="168"/>
      <c r="O2" s="168"/>
    </row>
    <row r="3" spans="1:15" ht="16.5" thickBot="1" x14ac:dyDescent="0.3">
      <c r="A3" s="169"/>
      <c r="B3" s="170" t="s">
        <v>8</v>
      </c>
      <c r="C3" s="171"/>
      <c r="D3" s="171"/>
      <c r="E3" s="172"/>
      <c r="F3" s="173"/>
      <c r="G3" s="161"/>
      <c r="H3" s="161"/>
      <c r="I3" s="161"/>
      <c r="J3" s="161"/>
      <c r="K3" s="168"/>
      <c r="L3" s="168"/>
      <c r="M3" s="168"/>
      <c r="N3" s="168"/>
      <c r="O3" s="168"/>
    </row>
    <row r="4" spans="1:15" x14ac:dyDescent="0.25">
      <c r="A4" s="169"/>
      <c r="B4" s="174"/>
      <c r="C4" s="175"/>
      <c r="D4" s="176"/>
      <c r="E4" s="177">
        <f>'BUILDING ESTIMATE'!$L$11</f>
        <v>0</v>
      </c>
      <c r="F4" s="162"/>
      <c r="G4" s="161"/>
      <c r="H4" s="161"/>
      <c r="I4" s="161"/>
      <c r="J4" s="161"/>
      <c r="K4" s="168"/>
      <c r="L4" s="168"/>
      <c r="M4" s="168"/>
      <c r="N4" s="168"/>
      <c r="O4" s="168"/>
    </row>
    <row r="5" spans="1:15" x14ac:dyDescent="0.25">
      <c r="A5" s="169"/>
      <c r="B5" s="174"/>
      <c r="C5" s="175" t="s">
        <v>1331</v>
      </c>
      <c r="D5" s="176"/>
      <c r="E5" s="177">
        <f>'BUILDING CONCRETE'!C$5</f>
        <v>0</v>
      </c>
      <c r="F5" s="162"/>
      <c r="G5" s="161"/>
      <c r="H5" s="161"/>
      <c r="I5" s="161"/>
      <c r="J5" s="161"/>
      <c r="K5" s="168"/>
      <c r="L5" s="168"/>
      <c r="M5" s="168"/>
      <c r="N5" s="168"/>
      <c r="O5" s="168"/>
    </row>
    <row r="6" spans="1:15" x14ac:dyDescent="0.25">
      <c r="A6" s="169"/>
      <c r="B6" s="174"/>
      <c r="C6" s="175" t="s">
        <v>1838</v>
      </c>
      <c r="D6" s="176"/>
      <c r="E6" s="177"/>
      <c r="F6" s="162"/>
      <c r="G6" s="161"/>
      <c r="H6" s="161"/>
      <c r="I6" s="161"/>
      <c r="J6" s="161"/>
      <c r="K6" s="168"/>
      <c r="L6" s="168"/>
      <c r="M6" s="168"/>
      <c r="N6" s="168"/>
      <c r="O6" s="168"/>
    </row>
    <row r="7" spans="1:15" x14ac:dyDescent="0.25">
      <c r="A7" s="169"/>
      <c r="B7" s="174"/>
      <c r="C7" s="797" t="s">
        <v>1329</v>
      </c>
      <c r="D7" s="176"/>
      <c r="E7" s="177">
        <f>'BUILDING ESTIMATE'!$L$23</f>
        <v>0</v>
      </c>
      <c r="F7" s="162"/>
      <c r="G7" s="161"/>
      <c r="H7" s="161"/>
      <c r="I7" s="161"/>
      <c r="J7" s="161"/>
      <c r="K7" s="168"/>
      <c r="L7" s="168"/>
      <c r="M7" s="168"/>
      <c r="N7" s="168"/>
      <c r="O7" s="168"/>
    </row>
    <row r="8" spans="1:15" x14ac:dyDescent="0.25">
      <c r="A8" s="169"/>
      <c r="B8" s="174"/>
      <c r="C8" s="797" t="s">
        <v>1300</v>
      </c>
      <c r="D8" s="176"/>
      <c r="E8" s="177">
        <f>'BUILDING ESTIMATE'!$L$28</f>
        <v>0</v>
      </c>
      <c r="F8" s="162"/>
      <c r="G8" s="161"/>
      <c r="H8" s="161"/>
      <c r="I8" s="161"/>
      <c r="J8" s="161"/>
      <c r="K8" s="168"/>
      <c r="L8" s="168"/>
      <c r="M8" s="168"/>
      <c r="N8" s="168"/>
      <c r="O8" s="168"/>
    </row>
    <row r="9" spans="1:15" x14ac:dyDescent="0.25">
      <c r="A9" s="169"/>
      <c r="B9" s="174"/>
      <c r="C9" s="797" t="s">
        <v>1301</v>
      </c>
      <c r="D9" s="176"/>
      <c r="E9" s="177">
        <f>'BUILDING ESTIMATE'!$L$37</f>
        <v>0</v>
      </c>
      <c r="F9" s="173"/>
      <c r="G9" s="168"/>
      <c r="H9" s="168"/>
      <c r="I9" s="168"/>
      <c r="J9" s="168"/>
      <c r="K9" s="168"/>
      <c r="L9" s="168"/>
      <c r="M9" s="168"/>
      <c r="N9" s="168"/>
      <c r="O9" s="168"/>
    </row>
    <row r="10" spans="1:15" x14ac:dyDescent="0.25">
      <c r="A10" s="169"/>
      <c r="B10" s="174"/>
      <c r="C10" s="175" t="s">
        <v>1839</v>
      </c>
      <c r="D10" s="176"/>
      <c r="E10" s="177"/>
      <c r="F10" s="162"/>
      <c r="G10" s="161"/>
      <c r="H10" s="161"/>
      <c r="I10" s="161"/>
      <c r="J10" s="161"/>
      <c r="K10" s="168"/>
      <c r="L10" s="168"/>
      <c r="M10" s="168"/>
      <c r="N10" s="168"/>
      <c r="O10" s="168"/>
    </row>
    <row r="11" spans="1:15" x14ac:dyDescent="0.25">
      <c r="A11" s="169"/>
      <c r="B11" s="174"/>
      <c r="C11" s="797" t="s">
        <v>1302</v>
      </c>
      <c r="D11" s="176"/>
      <c r="E11" s="177">
        <f>'BUILDING ESTIMATE'!$L$43</f>
        <v>0</v>
      </c>
      <c r="F11" s="173"/>
      <c r="G11" s="168"/>
      <c r="H11" s="168"/>
      <c r="I11" s="168"/>
      <c r="J11" s="168"/>
      <c r="K11" s="168"/>
      <c r="L11" s="168"/>
      <c r="M11" s="168"/>
      <c r="N11" s="168"/>
      <c r="O11" s="168"/>
    </row>
    <row r="12" spans="1:15" x14ac:dyDescent="0.25">
      <c r="A12" s="169"/>
      <c r="B12" s="174"/>
      <c r="C12" s="797" t="s">
        <v>1303</v>
      </c>
      <c r="D12" s="176"/>
      <c r="E12" s="177">
        <f>'BUILDING ESTIMATE'!$L$48</f>
        <v>0</v>
      </c>
      <c r="F12" s="173"/>
      <c r="G12" s="168"/>
      <c r="H12" s="168"/>
      <c r="I12" s="168"/>
      <c r="J12" s="168"/>
      <c r="K12" s="168"/>
      <c r="L12" s="168"/>
      <c r="M12" s="168"/>
      <c r="N12" s="168"/>
      <c r="O12" s="168"/>
    </row>
    <row r="13" spans="1:15" x14ac:dyDescent="0.25">
      <c r="A13" s="169"/>
      <c r="B13" s="174"/>
      <c r="C13" s="797" t="s">
        <v>1304</v>
      </c>
      <c r="D13" s="176"/>
      <c r="E13" s="177">
        <f>'BUILDING ESTIMATE'!$L$54</f>
        <v>0</v>
      </c>
      <c r="F13" s="173"/>
      <c r="G13" s="168"/>
      <c r="H13" s="168"/>
      <c r="I13" s="168"/>
      <c r="J13" s="168"/>
      <c r="K13" s="168"/>
      <c r="L13" s="168"/>
      <c r="M13" s="168"/>
      <c r="N13" s="168"/>
      <c r="O13" s="168"/>
    </row>
    <row r="14" spans="1:15" x14ac:dyDescent="0.25">
      <c r="A14" s="169"/>
      <c r="B14" s="174"/>
      <c r="C14" s="175" t="s">
        <v>1840</v>
      </c>
      <c r="D14" s="176"/>
      <c r="E14" s="177"/>
      <c r="F14" s="162"/>
      <c r="G14" s="161"/>
      <c r="H14" s="161"/>
      <c r="I14" s="161"/>
      <c r="J14" s="161"/>
      <c r="K14" s="168"/>
      <c r="L14" s="168"/>
      <c r="M14" s="168"/>
      <c r="N14" s="168"/>
      <c r="O14" s="168"/>
    </row>
    <row r="15" spans="1:15" x14ac:dyDescent="0.25">
      <c r="A15" s="169"/>
      <c r="B15" s="174"/>
      <c r="C15" s="797" t="s">
        <v>1305</v>
      </c>
      <c r="D15" s="176"/>
      <c r="E15" s="177">
        <f>'BUILDING ESTIMATE'!$L$62</f>
        <v>0</v>
      </c>
      <c r="F15" s="173"/>
      <c r="G15" s="168"/>
      <c r="H15" s="168"/>
      <c r="I15" s="168"/>
      <c r="J15" s="168"/>
      <c r="K15" s="168"/>
      <c r="L15" s="168"/>
      <c r="M15" s="168"/>
      <c r="N15" s="168"/>
      <c r="O15" s="168"/>
    </row>
    <row r="16" spans="1:15" x14ac:dyDescent="0.25">
      <c r="A16" s="169"/>
      <c r="B16" s="174"/>
      <c r="C16" s="797" t="s">
        <v>1306</v>
      </c>
      <c r="D16" s="176"/>
      <c r="E16" s="177">
        <f>'BUILDING ESTIMATE'!$L$67</f>
        <v>0</v>
      </c>
      <c r="F16" s="173"/>
      <c r="G16" s="168"/>
      <c r="H16" s="168"/>
      <c r="I16" s="168"/>
      <c r="J16" s="168"/>
      <c r="K16" s="168"/>
      <c r="L16" s="168"/>
      <c r="M16" s="168"/>
      <c r="N16" s="168"/>
      <c r="O16" s="168"/>
    </row>
    <row r="17" spans="1:15" x14ac:dyDescent="0.25">
      <c r="A17" s="169"/>
      <c r="B17" s="174"/>
      <c r="C17" s="797" t="s">
        <v>1307</v>
      </c>
      <c r="D17" s="176"/>
      <c r="E17" s="177">
        <f>'BUILDING ESTIMATE'!$L$83</f>
        <v>0</v>
      </c>
      <c r="F17" s="173"/>
      <c r="G17" s="168"/>
      <c r="H17" s="168"/>
      <c r="I17" s="168"/>
      <c r="J17" s="168"/>
      <c r="K17" s="168"/>
      <c r="L17" s="168"/>
      <c r="M17" s="168"/>
      <c r="N17" s="168"/>
      <c r="O17" s="168"/>
    </row>
    <row r="18" spans="1:15" x14ac:dyDescent="0.25">
      <c r="A18" s="169"/>
      <c r="B18" s="174"/>
      <c r="C18" s="797" t="s">
        <v>1308</v>
      </c>
      <c r="D18" s="176"/>
      <c r="E18" s="177">
        <f>'BUILDING ESTIMATE'!$L$89</f>
        <v>0</v>
      </c>
      <c r="F18" s="173"/>
      <c r="G18" s="168"/>
      <c r="H18" s="168"/>
      <c r="I18" s="168"/>
      <c r="J18" s="168"/>
      <c r="K18" s="168"/>
      <c r="L18" s="168"/>
      <c r="M18" s="168"/>
      <c r="N18" s="168"/>
      <c r="O18" s="168"/>
    </row>
    <row r="19" spans="1:15" x14ac:dyDescent="0.25">
      <c r="A19" s="169"/>
      <c r="B19" s="174"/>
      <c r="C19" s="797" t="s">
        <v>1309</v>
      </c>
      <c r="D19" s="176"/>
      <c r="E19" s="177">
        <f>'BUILDING ESTIMATE'!$L$94</f>
        <v>0</v>
      </c>
      <c r="F19" s="173"/>
      <c r="G19" s="168"/>
      <c r="H19" s="168"/>
      <c r="I19" s="168"/>
      <c r="J19" s="168"/>
      <c r="K19" s="168"/>
      <c r="L19" s="168"/>
      <c r="M19" s="168"/>
      <c r="N19" s="168"/>
      <c r="O19" s="168"/>
    </row>
    <row r="20" spans="1:15" x14ac:dyDescent="0.25">
      <c r="A20" s="169"/>
      <c r="B20" s="174"/>
      <c r="C20" s="175" t="s">
        <v>1841</v>
      </c>
      <c r="D20" s="176"/>
      <c r="E20" s="177"/>
      <c r="F20" s="162"/>
      <c r="G20" s="161"/>
      <c r="H20" s="161"/>
      <c r="I20" s="161"/>
      <c r="J20" s="161"/>
      <c r="K20" s="168"/>
      <c r="L20" s="168"/>
      <c r="M20" s="168"/>
      <c r="N20" s="168"/>
      <c r="O20" s="168"/>
    </row>
    <row r="21" spans="1:15" x14ac:dyDescent="0.25">
      <c r="A21" s="169"/>
      <c r="B21" s="174"/>
      <c r="C21" s="797" t="s">
        <v>1310</v>
      </c>
      <c r="D21" s="176"/>
      <c r="E21" s="177">
        <f>'BUILDING ESTIMATE'!$L$118</f>
        <v>0</v>
      </c>
      <c r="F21" s="173"/>
      <c r="G21" s="168"/>
      <c r="H21" s="168"/>
      <c r="I21" s="168"/>
      <c r="J21" s="168"/>
      <c r="K21" s="168"/>
      <c r="L21" s="168"/>
      <c r="M21" s="168"/>
      <c r="N21" s="168"/>
      <c r="O21" s="168"/>
    </row>
    <row r="22" spans="1:15" x14ac:dyDescent="0.25">
      <c r="A22" s="169"/>
      <c r="B22" s="174"/>
      <c r="C22" s="797" t="s">
        <v>1311</v>
      </c>
      <c r="D22" s="176"/>
      <c r="E22" s="177">
        <f>'BUILDING ESTIMATE'!$L$132</f>
        <v>0</v>
      </c>
      <c r="F22" s="173"/>
      <c r="G22" s="168"/>
      <c r="H22" s="168"/>
      <c r="I22" s="168"/>
      <c r="J22" s="168"/>
      <c r="K22" s="168"/>
      <c r="L22" s="168"/>
      <c r="M22" s="168"/>
      <c r="N22" s="168"/>
      <c r="O22" s="168"/>
    </row>
    <row r="23" spans="1:15" x14ac:dyDescent="0.25">
      <c r="A23" s="169"/>
      <c r="B23" s="174"/>
      <c r="C23" s="797" t="s">
        <v>1312</v>
      </c>
      <c r="D23" s="176"/>
      <c r="E23" s="177">
        <f>'BUILDING ESTIMATE'!$L$137</f>
        <v>0</v>
      </c>
      <c r="F23" s="173"/>
      <c r="G23" s="168"/>
      <c r="H23" s="168"/>
      <c r="I23" s="168"/>
      <c r="J23" s="168"/>
      <c r="K23" s="168"/>
      <c r="L23" s="168"/>
      <c r="M23" s="168"/>
      <c r="N23" s="168"/>
      <c r="O23" s="168"/>
    </row>
    <row r="24" spans="1:15" x14ac:dyDescent="0.25">
      <c r="A24" s="169"/>
      <c r="B24" s="174"/>
      <c r="C24" s="175" t="s">
        <v>1842</v>
      </c>
      <c r="D24" s="176"/>
      <c r="E24" s="177"/>
      <c r="F24" s="162"/>
      <c r="G24" s="161"/>
      <c r="H24" s="161"/>
      <c r="I24" s="161"/>
      <c r="J24" s="161"/>
      <c r="K24" s="168"/>
      <c r="L24" s="168"/>
      <c r="M24" s="168"/>
      <c r="N24" s="168"/>
      <c r="O24" s="168"/>
    </row>
    <row r="25" spans="1:15" x14ac:dyDescent="0.25">
      <c r="A25" s="169"/>
      <c r="B25" s="174"/>
      <c r="C25" s="797" t="s">
        <v>1313</v>
      </c>
      <c r="D25" s="176"/>
      <c r="E25" s="177">
        <f>'BUILDING ESTIMATE'!$L$1314</f>
        <v>0</v>
      </c>
      <c r="F25" s="173"/>
      <c r="G25" s="168"/>
      <c r="H25" s="168"/>
      <c r="I25" s="168"/>
      <c r="J25" s="168"/>
      <c r="K25" s="168"/>
      <c r="L25" s="168"/>
      <c r="M25" s="168"/>
      <c r="N25" s="168"/>
      <c r="O25" s="168"/>
    </row>
    <row r="26" spans="1:15" x14ac:dyDescent="0.25">
      <c r="A26" s="169"/>
      <c r="B26" s="174"/>
      <c r="C26" s="797" t="s">
        <v>1314</v>
      </c>
      <c r="D26" s="176"/>
      <c r="E26" s="177">
        <f>'BUILDING ESTIMATE'!$L$1326</f>
        <v>0</v>
      </c>
      <c r="F26" s="173"/>
      <c r="G26" s="168"/>
      <c r="H26" s="168"/>
      <c r="I26" s="168"/>
      <c r="J26" s="168"/>
      <c r="K26" s="168"/>
      <c r="L26" s="168"/>
      <c r="M26" s="168"/>
      <c r="N26" s="168"/>
      <c r="O26" s="168"/>
    </row>
    <row r="27" spans="1:15" x14ac:dyDescent="0.25">
      <c r="A27" s="169"/>
      <c r="B27" s="174"/>
      <c r="C27" s="797" t="s">
        <v>1315</v>
      </c>
      <c r="D27" s="176"/>
      <c r="E27" s="177">
        <f>'BUILDING ESTIMATE'!$L$1331</f>
        <v>0</v>
      </c>
      <c r="F27" s="173"/>
      <c r="G27" s="168"/>
      <c r="H27" s="168"/>
      <c r="I27" s="168"/>
      <c r="J27" s="168"/>
      <c r="K27" s="168"/>
      <c r="L27" s="168"/>
      <c r="M27" s="168"/>
      <c r="N27" s="168"/>
      <c r="O27" s="168"/>
    </row>
    <row r="28" spans="1:15" x14ac:dyDescent="0.25">
      <c r="A28" s="169"/>
      <c r="B28" s="174"/>
      <c r="C28" s="797" t="s">
        <v>47</v>
      </c>
      <c r="D28" s="176"/>
      <c r="E28" s="177">
        <f>'BUILDING ESTIMATE'!$L$1338</f>
        <v>0</v>
      </c>
      <c r="F28" s="173"/>
      <c r="G28" s="168"/>
      <c r="H28" s="168"/>
      <c r="I28" s="168"/>
      <c r="J28" s="168"/>
      <c r="K28" s="168"/>
      <c r="L28" s="168"/>
      <c r="M28" s="168"/>
      <c r="N28" s="168"/>
      <c r="O28" s="168"/>
    </row>
    <row r="29" spans="1:15" x14ac:dyDescent="0.25">
      <c r="A29" s="169"/>
      <c r="B29" s="174"/>
      <c r="C29" s="797" t="s">
        <v>46</v>
      </c>
      <c r="D29" s="176"/>
      <c r="E29" s="177">
        <f>'BUILDING ESTIMATE'!$L$1343</f>
        <v>0</v>
      </c>
      <c r="F29" s="173"/>
      <c r="G29" s="168"/>
      <c r="H29" s="168"/>
      <c r="I29" s="168"/>
      <c r="J29" s="168"/>
      <c r="K29" s="168"/>
      <c r="L29" s="168"/>
      <c r="M29" s="168"/>
      <c r="N29" s="168"/>
      <c r="O29" s="168"/>
    </row>
    <row r="30" spans="1:15" x14ac:dyDescent="0.25">
      <c r="A30" s="169"/>
      <c r="B30" s="174"/>
      <c r="C30" s="797" t="s">
        <v>1316</v>
      </c>
      <c r="D30" s="176"/>
      <c r="E30" s="177">
        <f>'BUILDING ESTIMATE'!$L$1349</f>
        <v>0</v>
      </c>
      <c r="F30" s="173"/>
      <c r="G30" s="168"/>
      <c r="H30" s="168"/>
      <c r="I30" s="168"/>
      <c r="J30" s="168"/>
      <c r="K30" s="168"/>
      <c r="L30" s="168"/>
      <c r="M30" s="168"/>
      <c r="N30" s="168"/>
      <c r="O30" s="168"/>
    </row>
    <row r="31" spans="1:15" x14ac:dyDescent="0.25">
      <c r="A31" s="169"/>
      <c r="B31" s="174"/>
      <c r="C31" s="797" t="s">
        <v>1317</v>
      </c>
      <c r="D31" s="176"/>
      <c r="E31" s="177">
        <f>'BUILDING ESTIMATE'!$L$1354</f>
        <v>0</v>
      </c>
      <c r="F31" s="173"/>
      <c r="G31" s="168"/>
      <c r="H31" s="168"/>
      <c r="I31" s="168"/>
      <c r="J31" s="168"/>
      <c r="K31" s="168"/>
      <c r="L31" s="168"/>
      <c r="M31" s="168"/>
      <c r="N31" s="168"/>
      <c r="O31" s="168"/>
    </row>
    <row r="32" spans="1:15" x14ac:dyDescent="0.25">
      <c r="A32" s="169"/>
      <c r="B32" s="174"/>
      <c r="C32" s="797" t="s">
        <v>1318</v>
      </c>
      <c r="D32" s="176"/>
      <c r="E32" s="177">
        <f>'BUILDING ESTIMATE'!$L$1360</f>
        <v>0</v>
      </c>
      <c r="F32" s="173"/>
      <c r="G32" s="168"/>
      <c r="H32" s="168"/>
      <c r="I32" s="168"/>
      <c r="J32" s="168"/>
      <c r="K32" s="168"/>
      <c r="L32" s="168"/>
      <c r="M32" s="168"/>
      <c r="N32" s="168"/>
      <c r="O32" s="168"/>
    </row>
    <row r="33" spans="1:15" x14ac:dyDescent="0.25">
      <c r="A33" s="169"/>
      <c r="B33" s="174"/>
      <c r="C33" s="797" t="s">
        <v>1319</v>
      </c>
      <c r="D33" s="176"/>
      <c r="E33" s="177">
        <f>'BUILDING ESTIMATE'!$L$1365</f>
        <v>0</v>
      </c>
      <c r="F33" s="173"/>
      <c r="G33" s="168"/>
      <c r="H33" s="168"/>
      <c r="I33" s="168"/>
      <c r="J33" s="168"/>
      <c r="K33" s="168"/>
      <c r="L33" s="168"/>
      <c r="M33" s="168"/>
      <c r="N33" s="168"/>
      <c r="O33" s="168"/>
    </row>
    <row r="34" spans="1:15" x14ac:dyDescent="0.25">
      <c r="A34" s="169"/>
      <c r="B34" s="174"/>
      <c r="C34" s="797" t="s">
        <v>1320</v>
      </c>
      <c r="D34" s="176"/>
      <c r="E34" s="177">
        <f>'BUILDING ESTIMATE'!$L$1370</f>
        <v>0</v>
      </c>
      <c r="F34" s="173"/>
      <c r="G34" s="168"/>
      <c r="H34" s="168"/>
      <c r="I34" s="168"/>
      <c r="J34" s="168"/>
      <c r="K34" s="168"/>
      <c r="L34" s="168"/>
      <c r="M34" s="168"/>
      <c r="N34" s="168"/>
      <c r="O34" s="168"/>
    </row>
    <row r="35" spans="1:15" x14ac:dyDescent="0.25">
      <c r="A35" s="169"/>
      <c r="B35" s="174"/>
      <c r="C35" s="797" t="s">
        <v>1321</v>
      </c>
      <c r="D35" s="176"/>
      <c r="E35" s="177">
        <f>'BUILDING ESTIMATE'!$L$1385</f>
        <v>0</v>
      </c>
      <c r="F35" s="173"/>
      <c r="G35" s="168"/>
      <c r="H35" s="168"/>
      <c r="I35" s="168"/>
      <c r="J35" s="168"/>
      <c r="K35" s="168"/>
      <c r="L35" s="168"/>
      <c r="M35" s="168"/>
      <c r="N35" s="168"/>
      <c r="O35" s="168"/>
    </row>
    <row r="36" spans="1:15" x14ac:dyDescent="0.25">
      <c r="A36" s="169"/>
      <c r="B36" s="174"/>
      <c r="C36" s="797" t="s">
        <v>31</v>
      </c>
      <c r="D36" s="176"/>
      <c r="E36" s="177">
        <f>'BUILDING ESTIMATE'!$L$1398</f>
        <v>0</v>
      </c>
      <c r="F36" s="173"/>
      <c r="G36" s="168"/>
      <c r="H36" s="168"/>
      <c r="I36" s="168"/>
      <c r="J36" s="168"/>
      <c r="K36" s="168"/>
      <c r="L36" s="168"/>
      <c r="M36" s="168"/>
      <c r="N36" s="168"/>
      <c r="O36" s="168"/>
    </row>
    <row r="37" spans="1:15" x14ac:dyDescent="0.25">
      <c r="A37" s="169"/>
      <c r="B37" s="174"/>
      <c r="C37" s="175" t="s">
        <v>1843</v>
      </c>
      <c r="D37" s="176"/>
      <c r="E37" s="177"/>
      <c r="F37" s="162"/>
      <c r="G37" s="161"/>
      <c r="H37" s="161"/>
      <c r="I37" s="161"/>
      <c r="J37" s="161"/>
      <c r="K37" s="168"/>
      <c r="L37" s="168"/>
      <c r="M37" s="168"/>
      <c r="N37" s="168"/>
      <c r="O37" s="168"/>
    </row>
    <row r="38" spans="1:15" x14ac:dyDescent="0.25">
      <c r="A38" s="169"/>
      <c r="B38" s="174"/>
      <c r="C38" s="797" t="s">
        <v>40</v>
      </c>
      <c r="D38" s="176"/>
      <c r="E38" s="177">
        <f>'BUILDING ESTIMATE'!$L$1415</f>
        <v>0</v>
      </c>
      <c r="F38" s="173"/>
      <c r="G38" s="168"/>
      <c r="H38" s="168"/>
      <c r="I38" s="168"/>
      <c r="J38" s="168"/>
      <c r="K38" s="168"/>
      <c r="L38" s="168"/>
      <c r="M38" s="168"/>
      <c r="N38" s="168"/>
      <c r="O38" s="168"/>
    </row>
    <row r="39" spans="1:15" x14ac:dyDescent="0.25">
      <c r="A39" s="169"/>
      <c r="B39" s="174"/>
      <c r="C39" s="797" t="s">
        <v>1322</v>
      </c>
      <c r="D39" s="176"/>
      <c r="E39" s="177">
        <f>'BUILDING ESTIMATE'!$L$1420</f>
        <v>0</v>
      </c>
      <c r="F39" s="173"/>
      <c r="G39" s="168"/>
      <c r="H39" s="168"/>
      <c r="I39" s="168"/>
      <c r="J39" s="168"/>
      <c r="K39" s="168"/>
      <c r="L39" s="168"/>
      <c r="M39" s="168"/>
      <c r="N39" s="168"/>
      <c r="O39" s="168"/>
    </row>
    <row r="40" spans="1:15" x14ac:dyDescent="0.25">
      <c r="A40" s="169"/>
      <c r="B40" s="174"/>
      <c r="C40" s="797" t="s">
        <v>1323</v>
      </c>
      <c r="D40" s="176"/>
      <c r="E40" s="177">
        <f>'BUILDING ESTIMATE'!$L$1425</f>
        <v>0</v>
      </c>
      <c r="F40" s="173"/>
      <c r="G40" s="168"/>
      <c r="H40" s="168"/>
      <c r="I40" s="168"/>
      <c r="J40" s="168"/>
      <c r="K40" s="168"/>
      <c r="L40" s="168"/>
      <c r="M40" s="168"/>
      <c r="N40" s="168"/>
      <c r="O40" s="168"/>
    </row>
    <row r="41" spans="1:15" x14ac:dyDescent="0.25">
      <c r="A41" s="169"/>
      <c r="B41" s="174"/>
      <c r="C41" s="797" t="s">
        <v>1324</v>
      </c>
      <c r="D41" s="176"/>
      <c r="E41" s="177">
        <f>'BUILDING ESTIMATE'!$L$1437</f>
        <v>0</v>
      </c>
      <c r="F41" s="173"/>
      <c r="G41" s="168"/>
      <c r="H41" s="168"/>
      <c r="I41" s="168"/>
      <c r="J41" s="168"/>
      <c r="K41" s="168"/>
      <c r="L41" s="168"/>
      <c r="M41" s="168"/>
      <c r="N41" s="168"/>
      <c r="O41" s="168"/>
    </row>
    <row r="42" spans="1:15" x14ac:dyDescent="0.25">
      <c r="A42" s="169"/>
      <c r="B42" s="174"/>
      <c r="C42" s="797" t="s">
        <v>1325</v>
      </c>
      <c r="D42" s="176"/>
      <c r="E42" s="177">
        <f>'BUILDING ESTIMATE'!$L$1442</f>
        <v>0</v>
      </c>
      <c r="F42" s="173"/>
      <c r="G42" s="168"/>
      <c r="H42" s="168"/>
      <c r="I42" s="168"/>
      <c r="J42" s="168"/>
      <c r="K42" s="168"/>
      <c r="L42" s="168"/>
      <c r="M42" s="168"/>
      <c r="N42" s="168"/>
      <c r="O42" s="168"/>
    </row>
    <row r="43" spans="1:15" x14ac:dyDescent="0.25">
      <c r="A43" s="169"/>
      <c r="B43" s="174"/>
      <c r="C43" s="797" t="s">
        <v>1326</v>
      </c>
      <c r="D43" s="176"/>
      <c r="E43" s="177">
        <f>'BUILDING ESTIMATE'!$L$1447</f>
        <v>0</v>
      </c>
      <c r="F43" s="173"/>
      <c r="G43" s="168"/>
      <c r="H43" s="168"/>
      <c r="I43" s="168"/>
      <c r="J43" s="168"/>
      <c r="K43" s="168"/>
      <c r="L43" s="168"/>
      <c r="M43" s="168"/>
      <c r="N43" s="168"/>
      <c r="O43" s="168"/>
    </row>
    <row r="44" spans="1:15" x14ac:dyDescent="0.25">
      <c r="A44" s="169"/>
      <c r="B44" s="174"/>
      <c r="C44" s="797" t="s">
        <v>1844</v>
      </c>
      <c r="D44" s="176"/>
      <c r="E44" s="177">
        <f>'BUILDING ESTIMATE'!$L$1462</f>
        <v>0</v>
      </c>
      <c r="F44" s="173"/>
      <c r="G44" s="168"/>
      <c r="H44" s="168"/>
      <c r="I44" s="168"/>
      <c r="J44" s="168"/>
      <c r="K44" s="168"/>
      <c r="L44" s="168"/>
      <c r="M44" s="168"/>
      <c r="N44" s="168"/>
      <c r="O44" s="168"/>
    </row>
    <row r="45" spans="1:15" x14ac:dyDescent="0.25">
      <c r="A45" s="169"/>
      <c r="B45" s="174"/>
      <c r="C45" s="175" t="s">
        <v>1327</v>
      </c>
      <c r="D45" s="176"/>
      <c r="E45" s="177">
        <f>'BUILDING ESTIMATE'!$L$1475</f>
        <v>0</v>
      </c>
      <c r="F45" s="173"/>
      <c r="G45" s="168"/>
      <c r="H45" s="168"/>
      <c r="I45" s="168"/>
      <c r="J45" s="168"/>
      <c r="K45" s="168"/>
      <c r="L45" s="168"/>
      <c r="M45" s="168"/>
      <c r="N45" s="168"/>
      <c r="O45" s="168"/>
    </row>
    <row r="46" spans="1:15" x14ac:dyDescent="0.25">
      <c r="A46" s="169"/>
      <c r="B46" s="174"/>
      <c r="C46" s="175" t="s">
        <v>32</v>
      </c>
      <c r="D46" s="176"/>
      <c r="E46" s="177">
        <f>'BUILDING ESTIMATE'!$L$1505</f>
        <v>0</v>
      </c>
      <c r="F46" s="173"/>
      <c r="G46" s="168"/>
      <c r="H46" s="168"/>
      <c r="I46" s="168"/>
      <c r="J46" s="168"/>
      <c r="K46" s="168"/>
      <c r="L46" s="168"/>
      <c r="M46" s="168"/>
      <c r="N46" s="168"/>
      <c r="O46" s="168"/>
    </row>
    <row r="47" spans="1:15" x14ac:dyDescent="0.25">
      <c r="A47" s="169"/>
      <c r="B47" s="174"/>
      <c r="C47" s="175" t="s">
        <v>1822</v>
      </c>
      <c r="D47" s="176"/>
      <c r="E47" s="177"/>
      <c r="F47" s="173"/>
      <c r="G47" s="168"/>
      <c r="H47" s="168"/>
      <c r="I47" s="168"/>
      <c r="J47" s="168"/>
      <c r="K47" s="168"/>
      <c r="L47" s="168"/>
      <c r="M47" s="168"/>
      <c r="N47" s="168"/>
      <c r="O47" s="168"/>
    </row>
    <row r="48" spans="1:15" x14ac:dyDescent="0.25">
      <c r="A48" s="169"/>
      <c r="B48" s="174"/>
      <c r="C48" s="797" t="s">
        <v>1328</v>
      </c>
      <c r="D48" s="176"/>
      <c r="E48" s="177">
        <f>'BUILDING ESTIMATE'!$L$1511</f>
        <v>0</v>
      </c>
      <c r="F48" s="173"/>
      <c r="G48" s="168"/>
      <c r="H48" s="168"/>
      <c r="I48" s="168"/>
      <c r="J48" s="168"/>
      <c r="K48" s="168"/>
      <c r="L48" s="168"/>
      <c r="M48" s="168"/>
      <c r="N48" s="168"/>
      <c r="O48" s="168"/>
    </row>
    <row r="49" spans="1:15" x14ac:dyDescent="0.25">
      <c r="A49" s="169"/>
      <c r="B49" s="174"/>
      <c r="C49" s="797" t="s">
        <v>1837</v>
      </c>
      <c r="D49" s="176"/>
      <c r="E49" s="177">
        <f>'BUILDING ESTIMATE'!$L$1516</f>
        <v>0</v>
      </c>
      <c r="F49" s="173"/>
      <c r="G49" s="168"/>
      <c r="H49" s="168"/>
      <c r="I49" s="168"/>
      <c r="J49" s="168"/>
      <c r="K49" s="168"/>
      <c r="L49" s="168"/>
      <c r="M49" s="168"/>
      <c r="N49" s="168"/>
      <c r="O49" s="168"/>
    </row>
    <row r="50" spans="1:15" x14ac:dyDescent="0.25">
      <c r="A50" s="169"/>
      <c r="B50" s="174"/>
      <c r="C50" s="175" t="s">
        <v>1821</v>
      </c>
      <c r="D50" s="176"/>
      <c r="E50" s="177"/>
      <c r="F50" s="173"/>
      <c r="G50" s="168"/>
      <c r="H50" s="168"/>
      <c r="I50" s="168"/>
      <c r="J50" s="168"/>
      <c r="K50" s="168"/>
      <c r="L50" s="168"/>
      <c r="M50" s="168"/>
      <c r="N50" s="168"/>
      <c r="O50" s="168"/>
    </row>
    <row r="51" spans="1:15" x14ac:dyDescent="0.25">
      <c r="A51" s="169"/>
      <c r="B51" s="174"/>
      <c r="C51" s="797" t="s">
        <v>1332</v>
      </c>
      <c r="D51" s="176"/>
      <c r="E51" s="177">
        <f>'ELEC &amp; PLUMB &amp; HVAC'!L$259</f>
        <v>0</v>
      </c>
      <c r="F51" s="173"/>
      <c r="G51" s="168"/>
      <c r="H51" s="168"/>
      <c r="I51" s="168"/>
      <c r="J51" s="168"/>
      <c r="K51" s="168"/>
      <c r="L51" s="168"/>
      <c r="M51" s="168"/>
      <c r="N51" s="168"/>
      <c r="O51" s="168"/>
    </row>
    <row r="52" spans="1:15" x14ac:dyDescent="0.25">
      <c r="A52" s="169"/>
      <c r="B52" s="174"/>
      <c r="C52" s="797" t="s">
        <v>1333</v>
      </c>
      <c r="D52" s="176"/>
      <c r="E52" s="177">
        <f>'ELEC &amp; PLUMB &amp; HVAC'!L$361</f>
        <v>0</v>
      </c>
      <c r="F52" s="173"/>
      <c r="G52" s="168"/>
      <c r="H52" s="168"/>
      <c r="I52" s="168"/>
      <c r="J52" s="168"/>
      <c r="K52" s="168"/>
      <c r="L52" s="168"/>
      <c r="M52" s="168"/>
      <c r="N52" s="168"/>
      <c r="O52" s="168"/>
    </row>
    <row r="53" spans="1:15" x14ac:dyDescent="0.25">
      <c r="A53" s="169"/>
      <c r="B53" s="174"/>
      <c r="C53" s="797" t="s">
        <v>1334</v>
      </c>
      <c r="D53" s="176"/>
      <c r="E53" s="177">
        <f>'ELEC &amp; PLUMB &amp; HVAC'!L$526</f>
        <v>0</v>
      </c>
      <c r="F53" s="173"/>
      <c r="G53" s="168"/>
      <c r="H53" s="168"/>
      <c r="I53" s="168"/>
      <c r="J53" s="168"/>
      <c r="K53" s="168"/>
      <c r="L53" s="168"/>
      <c r="M53" s="168"/>
      <c r="N53" s="168"/>
      <c r="O53" s="168"/>
    </row>
    <row r="54" spans="1:15" x14ac:dyDescent="0.25">
      <c r="A54" s="169"/>
      <c r="B54" s="174"/>
      <c r="C54" s="175" t="s">
        <v>1820</v>
      </c>
      <c r="D54" s="176"/>
      <c r="E54" s="177"/>
      <c r="F54" s="173"/>
      <c r="G54" s="168"/>
      <c r="H54" s="168"/>
      <c r="I54" s="168"/>
      <c r="J54" s="168"/>
      <c r="K54" s="168"/>
      <c r="L54" s="168"/>
      <c r="M54" s="168"/>
      <c r="N54" s="168"/>
      <c r="O54" s="168"/>
    </row>
    <row r="55" spans="1:15" x14ac:dyDescent="0.25">
      <c r="A55" s="169"/>
      <c r="B55" s="794"/>
      <c r="C55" s="797" t="s">
        <v>1800</v>
      </c>
      <c r="D55" s="796"/>
      <c r="E55" s="177">
        <f>'SITE WORKS'!$L$56</f>
        <v>0</v>
      </c>
      <c r="F55" s="173"/>
      <c r="G55" s="168"/>
      <c r="H55" s="168"/>
      <c r="I55" s="168"/>
      <c r="J55" s="168"/>
      <c r="K55" s="168"/>
      <c r="L55" s="168"/>
      <c r="M55" s="168"/>
      <c r="N55" s="168"/>
      <c r="O55" s="168"/>
    </row>
    <row r="56" spans="1:15" x14ac:dyDescent="0.25">
      <c r="A56" s="169"/>
      <c r="B56" s="794"/>
      <c r="C56" s="797" t="s">
        <v>1801</v>
      </c>
      <c r="D56" s="796"/>
      <c r="E56" s="177">
        <f>'SITE WORKS'!$L$120</f>
        <v>0</v>
      </c>
      <c r="F56" s="173"/>
      <c r="G56" s="168"/>
      <c r="H56" s="168"/>
      <c r="I56" s="168"/>
      <c r="J56" s="168"/>
      <c r="K56" s="168"/>
      <c r="L56" s="168"/>
      <c r="M56" s="168"/>
      <c r="N56" s="168"/>
      <c r="O56" s="168"/>
    </row>
    <row r="57" spans="1:15" x14ac:dyDescent="0.25">
      <c r="A57" s="169"/>
      <c r="B57" s="794"/>
      <c r="C57" s="797" t="s">
        <v>1802</v>
      </c>
      <c r="D57" s="796"/>
      <c r="E57" s="177">
        <f>'SITE WORKS'!$L$127</f>
        <v>0</v>
      </c>
      <c r="F57" s="173"/>
      <c r="G57" s="168"/>
      <c r="H57" s="168"/>
      <c r="I57" s="168"/>
      <c r="J57" s="168"/>
      <c r="K57" s="168"/>
      <c r="L57" s="168"/>
      <c r="M57" s="168"/>
      <c r="N57" s="168"/>
      <c r="O57" s="168"/>
    </row>
    <row r="58" spans="1:15" x14ac:dyDescent="0.25">
      <c r="A58" s="169"/>
      <c r="B58" s="794"/>
      <c r="C58" s="797" t="s">
        <v>1803</v>
      </c>
      <c r="D58" s="796"/>
      <c r="E58" s="177">
        <f>'SITE WORKS'!$L$138</f>
        <v>0</v>
      </c>
      <c r="F58" s="173"/>
      <c r="G58" s="168"/>
      <c r="H58" s="168"/>
      <c r="I58" s="168"/>
      <c r="J58" s="168"/>
      <c r="K58" s="168"/>
      <c r="L58" s="168"/>
      <c r="M58" s="168"/>
      <c r="N58" s="168"/>
      <c r="O58" s="168"/>
    </row>
    <row r="59" spans="1:15" x14ac:dyDescent="0.25">
      <c r="A59" s="169"/>
      <c r="B59" s="794"/>
      <c r="C59" s="797" t="s">
        <v>1804</v>
      </c>
      <c r="D59" s="796"/>
      <c r="E59" s="177">
        <f>'SITE WORKS'!$L$149</f>
        <v>0</v>
      </c>
      <c r="F59" s="173"/>
      <c r="G59" s="168"/>
      <c r="H59" s="168"/>
      <c r="I59" s="168"/>
      <c r="J59" s="168"/>
      <c r="K59" s="168"/>
      <c r="L59" s="168"/>
      <c r="M59" s="168"/>
      <c r="N59" s="168"/>
      <c r="O59" s="168"/>
    </row>
    <row r="60" spans="1:15" x14ac:dyDescent="0.25">
      <c r="A60" s="169"/>
      <c r="B60" s="794"/>
      <c r="C60" s="797" t="s">
        <v>1805</v>
      </c>
      <c r="D60" s="796"/>
      <c r="E60" s="177">
        <f>'SITE WORKS'!$L$158</f>
        <v>0</v>
      </c>
      <c r="F60" s="173"/>
      <c r="G60" s="168"/>
      <c r="H60" s="168"/>
      <c r="I60" s="168"/>
      <c r="J60" s="168"/>
      <c r="K60" s="168"/>
      <c r="L60" s="168"/>
      <c r="M60" s="168"/>
      <c r="N60" s="168"/>
      <c r="O60" s="168"/>
    </row>
    <row r="61" spans="1:15" x14ac:dyDescent="0.25">
      <c r="A61" s="169"/>
      <c r="B61" s="794"/>
      <c r="C61" s="797" t="s">
        <v>1806</v>
      </c>
      <c r="D61" s="796"/>
      <c r="E61" s="177">
        <f>'SITE WORKS'!$L$169</f>
        <v>0</v>
      </c>
      <c r="F61" s="173"/>
      <c r="G61" s="168"/>
      <c r="H61" s="168"/>
      <c r="I61" s="168"/>
      <c r="J61" s="168"/>
      <c r="K61" s="168"/>
      <c r="L61" s="168"/>
      <c r="M61" s="168"/>
      <c r="N61" s="168"/>
      <c r="O61" s="168"/>
    </row>
    <row r="62" spans="1:15" x14ac:dyDescent="0.25">
      <c r="A62" s="169"/>
      <c r="B62" s="794"/>
      <c r="C62" s="797" t="s">
        <v>1807</v>
      </c>
      <c r="D62" s="796"/>
      <c r="E62" s="177">
        <f>'SITE WORKS'!$L$179</f>
        <v>0</v>
      </c>
      <c r="F62" s="173"/>
      <c r="G62" s="168"/>
      <c r="H62" s="168"/>
      <c r="I62" s="168"/>
      <c r="J62" s="168"/>
      <c r="K62" s="168"/>
      <c r="L62" s="168"/>
      <c r="M62" s="168"/>
      <c r="N62" s="168"/>
      <c r="O62" s="168"/>
    </row>
    <row r="63" spans="1:15" x14ac:dyDescent="0.25">
      <c r="A63" s="169"/>
      <c r="B63" s="794"/>
      <c r="C63" s="797" t="s">
        <v>1808</v>
      </c>
      <c r="D63" s="796"/>
      <c r="E63" s="177">
        <f>'SITE WORKS'!$L$192</f>
        <v>0</v>
      </c>
      <c r="F63" s="173"/>
      <c r="G63" s="168"/>
      <c r="H63" s="168"/>
      <c r="I63" s="168"/>
      <c r="J63" s="168"/>
      <c r="K63" s="168"/>
      <c r="L63" s="168"/>
      <c r="M63" s="168"/>
      <c r="N63" s="168"/>
      <c r="O63" s="168"/>
    </row>
    <row r="64" spans="1:15" x14ac:dyDescent="0.25">
      <c r="A64" s="169"/>
      <c r="B64" s="794"/>
      <c r="C64" s="797" t="s">
        <v>1809</v>
      </c>
      <c r="D64" s="796"/>
      <c r="E64" s="177">
        <f>'SITE WORKS'!$L$219</f>
        <v>0</v>
      </c>
      <c r="F64" s="173"/>
      <c r="G64" s="168"/>
      <c r="H64" s="168"/>
      <c r="I64" s="168"/>
      <c r="J64" s="168"/>
      <c r="K64" s="168"/>
      <c r="L64" s="168"/>
      <c r="M64" s="168"/>
      <c r="N64" s="168"/>
      <c r="O64" s="168"/>
    </row>
    <row r="65" spans="1:15" x14ac:dyDescent="0.25">
      <c r="A65" s="169"/>
      <c r="B65" s="794"/>
      <c r="C65" s="797" t="s">
        <v>1810</v>
      </c>
      <c r="D65" s="796"/>
      <c r="E65" s="177">
        <f>'SITE WORKS'!$L$266</f>
        <v>0</v>
      </c>
      <c r="F65" s="173"/>
      <c r="G65" s="168"/>
      <c r="H65" s="168"/>
      <c r="I65" s="168"/>
      <c r="J65" s="168"/>
      <c r="K65" s="168"/>
      <c r="L65" s="168"/>
      <c r="M65" s="168"/>
      <c r="N65" s="168"/>
      <c r="O65" s="168"/>
    </row>
    <row r="66" spans="1:15" x14ac:dyDescent="0.25">
      <c r="A66" s="169"/>
      <c r="B66" s="794"/>
      <c r="C66" s="797" t="s">
        <v>1811</v>
      </c>
      <c r="D66" s="796"/>
      <c r="E66" s="177">
        <f>'SITE WORKS'!$L$297</f>
        <v>0</v>
      </c>
      <c r="F66" s="173"/>
      <c r="G66" s="168"/>
      <c r="H66" s="168"/>
      <c r="I66" s="168"/>
      <c r="J66" s="168"/>
      <c r="K66" s="168"/>
      <c r="L66" s="168"/>
      <c r="M66" s="168"/>
      <c r="N66" s="168"/>
      <c r="O66" s="168"/>
    </row>
    <row r="67" spans="1:15" x14ac:dyDescent="0.25">
      <c r="A67" s="169"/>
      <c r="B67" s="794"/>
      <c r="C67" s="797" t="s">
        <v>1812</v>
      </c>
      <c r="D67" s="796"/>
      <c r="E67" s="177">
        <f>'SITE WORKS'!$L$353</f>
        <v>0</v>
      </c>
      <c r="F67" s="173"/>
      <c r="G67" s="168"/>
      <c r="H67" s="168"/>
      <c r="I67" s="168"/>
      <c r="J67" s="168"/>
      <c r="K67" s="168"/>
      <c r="L67" s="168"/>
      <c r="M67" s="168"/>
      <c r="N67" s="168"/>
      <c r="O67" s="168"/>
    </row>
    <row r="68" spans="1:15" x14ac:dyDescent="0.25">
      <c r="A68" s="169"/>
      <c r="B68" s="794"/>
      <c r="C68" s="797" t="s">
        <v>1813</v>
      </c>
      <c r="D68" s="796"/>
      <c r="E68" s="177">
        <f>'SITE WORKS'!$L$373</f>
        <v>0</v>
      </c>
      <c r="F68" s="173"/>
      <c r="G68" s="168"/>
      <c r="H68" s="168"/>
      <c r="I68" s="168"/>
      <c r="J68" s="168"/>
      <c r="K68" s="168"/>
      <c r="L68" s="168"/>
      <c r="M68" s="168"/>
      <c r="N68" s="168"/>
      <c r="O68" s="168"/>
    </row>
    <row r="69" spans="1:15" x14ac:dyDescent="0.25">
      <c r="A69" s="169"/>
      <c r="B69" s="794"/>
      <c r="C69" s="797" t="s">
        <v>1814</v>
      </c>
      <c r="D69" s="796"/>
      <c r="E69" s="177">
        <f>'SITE WORKS'!$L$422</f>
        <v>0</v>
      </c>
      <c r="F69" s="173"/>
      <c r="G69" s="168"/>
      <c r="H69" s="168"/>
      <c r="I69" s="168"/>
      <c r="J69" s="168"/>
      <c r="K69" s="168"/>
      <c r="L69" s="168"/>
      <c r="M69" s="168"/>
      <c r="N69" s="168"/>
      <c r="O69" s="168"/>
    </row>
    <row r="70" spans="1:15" x14ac:dyDescent="0.25">
      <c r="A70" s="169"/>
      <c r="B70" s="794"/>
      <c r="C70" s="797" t="s">
        <v>1815</v>
      </c>
      <c r="D70" s="796"/>
      <c r="E70" s="177">
        <f>'SITE WORKS'!$L$436</f>
        <v>0</v>
      </c>
      <c r="F70" s="173"/>
      <c r="G70" s="168"/>
      <c r="H70" s="168"/>
      <c r="I70" s="168"/>
      <c r="J70" s="168"/>
      <c r="K70" s="168"/>
      <c r="L70" s="168"/>
      <c r="M70" s="168"/>
      <c r="N70" s="168"/>
      <c r="O70" s="168"/>
    </row>
    <row r="71" spans="1:15" x14ac:dyDescent="0.25">
      <c r="A71" s="169"/>
      <c r="B71" s="794"/>
      <c r="C71" s="797" t="s">
        <v>1816</v>
      </c>
      <c r="D71" s="796"/>
      <c r="E71" s="177">
        <f>'SITE WORKS'!$L$463</f>
        <v>0</v>
      </c>
      <c r="F71" s="173"/>
      <c r="G71" s="168"/>
      <c r="H71" s="168"/>
      <c r="I71" s="168"/>
      <c r="J71" s="168"/>
      <c r="K71" s="168"/>
      <c r="L71" s="168"/>
      <c r="M71" s="168"/>
      <c r="N71" s="168"/>
      <c r="O71" s="168"/>
    </row>
    <row r="72" spans="1:15" x14ac:dyDescent="0.25">
      <c r="A72" s="169"/>
      <c r="B72" s="794"/>
      <c r="C72" s="797" t="s">
        <v>1817</v>
      </c>
      <c r="D72" s="796"/>
      <c r="E72" s="177">
        <f>'SITE WORKS'!$L$474</f>
        <v>0</v>
      </c>
      <c r="F72" s="173"/>
      <c r="G72" s="168"/>
      <c r="H72" s="168"/>
      <c r="I72" s="168"/>
      <c r="J72" s="168"/>
      <c r="K72" s="168"/>
      <c r="L72" s="168"/>
      <c r="M72" s="168"/>
      <c r="N72" s="168"/>
      <c r="O72" s="168"/>
    </row>
    <row r="73" spans="1:15" x14ac:dyDescent="0.25">
      <c r="A73" s="169"/>
      <c r="B73" s="794"/>
      <c r="C73" s="797" t="s">
        <v>1818</v>
      </c>
      <c r="D73" s="796"/>
      <c r="E73" s="177">
        <f>'SITE WORKS'!$L$639</f>
        <v>0</v>
      </c>
      <c r="F73" s="173"/>
      <c r="G73" s="168"/>
      <c r="H73" s="168"/>
      <c r="I73" s="168"/>
      <c r="J73" s="168"/>
      <c r="K73" s="168"/>
      <c r="L73" s="168"/>
      <c r="M73" s="168"/>
      <c r="N73" s="168"/>
      <c r="O73" s="168"/>
    </row>
    <row r="74" spans="1:15" x14ac:dyDescent="0.25">
      <c r="A74" s="169"/>
      <c r="B74" s="794"/>
      <c r="C74" s="797" t="s">
        <v>1819</v>
      </c>
      <c r="D74" s="796"/>
      <c r="E74" s="177">
        <f>'SITE WORKS'!$L$644</f>
        <v>0</v>
      </c>
      <c r="F74" s="173"/>
      <c r="G74" s="168"/>
      <c r="H74" s="168"/>
      <c r="I74" s="168"/>
      <c r="J74" s="168"/>
      <c r="K74" s="168"/>
      <c r="L74" s="168"/>
      <c r="M74" s="168"/>
      <c r="N74" s="168"/>
      <c r="O74" s="168"/>
    </row>
    <row r="75" spans="1:15" ht="16.5" thickBot="1" x14ac:dyDescent="0.3">
      <c r="A75" s="169"/>
      <c r="B75" s="794"/>
      <c r="C75" s="795"/>
      <c r="D75" s="796"/>
      <c r="E75" s="177"/>
      <c r="F75" s="173"/>
      <c r="G75" s="168"/>
      <c r="H75" s="168"/>
      <c r="I75" s="168"/>
      <c r="J75" s="168"/>
      <c r="K75" s="168"/>
      <c r="L75" s="168"/>
      <c r="M75" s="168"/>
      <c r="N75" s="168"/>
      <c r="O75" s="168"/>
    </row>
    <row r="76" spans="1:15" ht="16.5" thickBot="1" x14ac:dyDescent="0.3">
      <c r="A76" s="169"/>
      <c r="B76" s="178" t="s">
        <v>29</v>
      </c>
      <c r="C76" s="179"/>
      <c r="D76" s="179"/>
      <c r="E76" s="180">
        <f>SUM(E4:E75)</f>
        <v>0</v>
      </c>
      <c r="F76" s="162"/>
      <c r="G76" s="690"/>
      <c r="H76" s="161"/>
      <c r="I76" s="161"/>
      <c r="J76" s="161"/>
      <c r="K76" s="168"/>
      <c r="L76" s="168"/>
      <c r="M76" s="168"/>
      <c r="N76" s="168"/>
      <c r="O76" s="168"/>
    </row>
    <row r="77" spans="1:15" ht="16.5" thickBot="1" x14ac:dyDescent="0.3">
      <c r="A77" s="169"/>
      <c r="B77" s="181" t="s">
        <v>6</v>
      </c>
      <c r="C77" s="182"/>
      <c r="D77" s="182"/>
      <c r="E77" s="183">
        <f>SUM(E76:E76)</f>
        <v>0</v>
      </c>
      <c r="F77" s="173"/>
      <c r="G77" s="161"/>
      <c r="H77" s="161"/>
      <c r="I77" s="161"/>
      <c r="J77" s="161"/>
      <c r="K77" s="168"/>
      <c r="L77" s="168"/>
      <c r="M77" s="168"/>
      <c r="N77" s="168"/>
      <c r="O77" s="168"/>
    </row>
    <row r="78" spans="1:15" ht="16.5" thickBot="1" x14ac:dyDescent="0.3">
      <c r="A78" s="860"/>
      <c r="B78" s="848" t="s">
        <v>30</v>
      </c>
      <c r="C78" s="849"/>
      <c r="D78" s="849"/>
      <c r="E78" s="850"/>
      <c r="F78" s="861"/>
    </row>
  </sheetData>
  <printOptions horizontalCentered="1" verticalCentered="1"/>
  <pageMargins left="1" right="1" top="1" bottom="1" header="0.5" footer="0.5"/>
  <pageSetup paperSize="140" scale="37" orientation="landscape" r:id="rId1"/>
  <headerFooter>
    <oddFooter xml:space="preserve">&amp;C&amp;P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S1532"/>
  <sheetViews>
    <sheetView showGridLines="0" tabSelected="1" view="pageBreakPreview" zoomScale="90" zoomScaleNormal="90" zoomScaleSheetLayoutView="90" workbookViewId="0">
      <pane ySplit="6" topLeftCell="A7" activePane="bottomLeft" state="frozen"/>
      <selection pane="bottomLeft" activeCell="A7" sqref="A7"/>
    </sheetView>
  </sheetViews>
  <sheetFormatPr defaultColWidth="9.6640625" defaultRowHeight="15.75" x14ac:dyDescent="0.2"/>
  <cols>
    <col min="1" max="1" width="5.33203125" style="7" customWidth="1"/>
    <col min="2" max="2" width="12.33203125" style="63" customWidth="1"/>
    <col min="3" max="3" width="14.88671875" style="9" bestFit="1" customWidth="1"/>
    <col min="4" max="4" width="7.44140625" style="9" customWidth="1"/>
    <col min="5" max="5" width="47.21875" style="15" customWidth="1"/>
    <col min="6" max="6" width="8.109375" style="22" customWidth="1"/>
    <col min="7" max="7" width="8.109375" style="10" customWidth="1"/>
    <col min="8" max="8" width="7.88671875" style="10" customWidth="1"/>
    <col min="9" max="9" width="7.109375" style="9" customWidth="1"/>
    <col min="10" max="10" width="10.109375" style="77" customWidth="1"/>
    <col min="11" max="11" width="11.44140625" style="11" customWidth="1"/>
    <col min="12" max="12" width="11.6640625" style="19" customWidth="1"/>
    <col min="13" max="13" width="10" style="157" customWidth="1"/>
    <col min="14" max="14" width="11.33203125" style="8" customWidth="1"/>
    <col min="15" max="15" width="10.33203125" style="8" customWidth="1"/>
    <col min="16" max="16" width="11.5546875" style="8" bestFit="1" customWidth="1"/>
    <col min="17" max="16384" width="9.6640625" style="8"/>
  </cols>
  <sheetData>
    <row r="1" spans="1:19" s="6" customFormat="1" ht="16.5" thickBot="1" x14ac:dyDescent="0.25">
      <c r="A1" s="103" t="s">
        <v>7</v>
      </c>
      <c r="B1" s="105"/>
      <c r="C1" s="106"/>
      <c r="D1" s="107"/>
      <c r="E1" s="108"/>
      <c r="F1" s="104"/>
      <c r="G1" s="104"/>
      <c r="H1" s="104"/>
      <c r="I1" s="104"/>
      <c r="J1" s="89"/>
      <c r="K1" s="104"/>
      <c r="L1" s="109" t="s">
        <v>13</v>
      </c>
      <c r="M1" s="328"/>
      <c r="O1" s="328"/>
      <c r="S1" s="328"/>
    </row>
    <row r="2" spans="1:19" s="1" customFormat="1" x14ac:dyDescent="0.2">
      <c r="A2" s="83" t="s">
        <v>8</v>
      </c>
      <c r="B2" s="84"/>
      <c r="C2" s="85"/>
      <c r="D2" s="28"/>
      <c r="E2" s="464"/>
      <c r="F2" s="18"/>
      <c r="G2" s="70"/>
      <c r="H2" s="18"/>
      <c r="I2" s="18"/>
      <c r="J2" s="186"/>
      <c r="K2" s="184"/>
      <c r="L2" s="458"/>
      <c r="M2" s="328"/>
      <c r="O2" s="328"/>
      <c r="S2" s="328"/>
    </row>
    <row r="3" spans="1:19" s="1" customFormat="1" x14ac:dyDescent="0.2">
      <c r="A3" s="86" t="s">
        <v>9</v>
      </c>
      <c r="B3" s="84"/>
      <c r="C3" s="87">
        <v>44977</v>
      </c>
      <c r="D3" s="29"/>
      <c r="E3" s="464"/>
      <c r="F3" s="18"/>
      <c r="G3" s="70"/>
      <c r="H3" s="110"/>
      <c r="I3" s="20"/>
      <c r="J3" s="187"/>
      <c r="K3" s="185"/>
      <c r="L3" s="188"/>
      <c r="M3" s="328"/>
      <c r="O3" s="328"/>
    </row>
    <row r="4" spans="1:19" s="1" customFormat="1" x14ac:dyDescent="0.2">
      <c r="A4" s="86" t="s">
        <v>10</v>
      </c>
      <c r="B4" s="84"/>
      <c r="C4" s="87">
        <v>44866</v>
      </c>
      <c r="D4" s="29"/>
      <c r="E4" s="464"/>
      <c r="F4" s="18"/>
      <c r="G4" s="70"/>
      <c r="H4" s="110"/>
      <c r="I4" s="20"/>
      <c r="J4" s="187"/>
      <c r="K4" s="185"/>
      <c r="L4" s="188"/>
      <c r="M4" s="328"/>
      <c r="O4" s="328"/>
    </row>
    <row r="5" spans="1:19" s="1" customFormat="1" ht="16.5" thickBot="1" x14ac:dyDescent="0.25">
      <c r="A5" s="99" t="s">
        <v>3</v>
      </c>
      <c r="B5" s="100"/>
      <c r="C5" s="101">
        <f>L$1521</f>
        <v>0</v>
      </c>
      <c r="D5" s="102"/>
      <c r="E5" s="464"/>
      <c r="F5" s="18"/>
      <c r="G5" s="70"/>
      <c r="H5" s="110"/>
      <c r="I5" s="20"/>
      <c r="J5" s="189"/>
      <c r="K5" s="190"/>
      <c r="L5" s="191"/>
      <c r="M5" s="328"/>
    </row>
    <row r="6" spans="1:19" s="12" customFormat="1" ht="43.5" customHeight="1" thickBot="1" x14ac:dyDescent="0.25">
      <c r="A6" s="852" t="s">
        <v>11</v>
      </c>
      <c r="B6" s="853" t="s">
        <v>16</v>
      </c>
      <c r="C6" s="853" t="s">
        <v>17</v>
      </c>
      <c r="D6" s="853" t="s">
        <v>19</v>
      </c>
      <c r="E6" s="853" t="s">
        <v>1</v>
      </c>
      <c r="F6" s="853" t="s">
        <v>1848</v>
      </c>
      <c r="G6" s="853" t="s">
        <v>4</v>
      </c>
      <c r="H6" s="853" t="s">
        <v>5</v>
      </c>
      <c r="I6" s="853" t="s">
        <v>0</v>
      </c>
      <c r="J6" s="853" t="s">
        <v>2</v>
      </c>
      <c r="K6" s="854" t="s">
        <v>6</v>
      </c>
      <c r="L6" s="855" t="s">
        <v>12</v>
      </c>
      <c r="M6" s="328"/>
      <c r="O6" s="1"/>
    </row>
    <row r="7" spans="1:19" s="121" customFormat="1" ht="16.5" thickBot="1" x14ac:dyDescent="0.25">
      <c r="A7" s="148" t="str">
        <f>IF(F7&lt;&gt;"",1+MAX(#REF!),"")</f>
        <v/>
      </c>
      <c r="B7" s="149"/>
      <c r="C7" s="114"/>
      <c r="D7" s="115" t="s">
        <v>35</v>
      </c>
      <c r="E7" s="116" t="s">
        <v>36</v>
      </c>
      <c r="F7" s="117"/>
      <c r="G7" s="118"/>
      <c r="H7" s="118"/>
      <c r="I7" s="118"/>
      <c r="J7" s="71"/>
      <c r="K7" s="119"/>
      <c r="L7" s="120"/>
      <c r="M7" s="152"/>
      <c r="N7" s="150"/>
    </row>
    <row r="8" spans="1:19" s="133" customFormat="1" ht="141.75" x14ac:dyDescent="0.2">
      <c r="A8" s="111">
        <f>IF(F8&lt;&gt;"",1+MAX($A$7:A7),"")</f>
        <v>1</v>
      </c>
      <c r="B8" s="122"/>
      <c r="C8" s="123"/>
      <c r="D8" s="124"/>
      <c r="E8" s="125" t="s">
        <v>37</v>
      </c>
      <c r="F8" s="126">
        <v>1</v>
      </c>
      <c r="G8" s="127">
        <v>0</v>
      </c>
      <c r="H8" s="128">
        <f t="shared" ref="H8:H9" si="0">F8*(1+G8)</f>
        <v>1</v>
      </c>
      <c r="I8" s="129" t="s">
        <v>27</v>
      </c>
      <c r="J8" s="159">
        <v>0</v>
      </c>
      <c r="K8" s="131">
        <f>J8*H8</f>
        <v>0</v>
      </c>
      <c r="L8" s="132"/>
      <c r="M8" s="806"/>
      <c r="N8" s="257"/>
      <c r="O8" s="257"/>
      <c r="P8" s="257"/>
      <c r="Q8" s="257"/>
    </row>
    <row r="9" spans="1:19" s="133" customFormat="1" ht="18.75" x14ac:dyDescent="0.2">
      <c r="A9" s="111">
        <f>IF(F9&lt;&gt;"",1+MAX($A$7:A8),"")</f>
        <v>2</v>
      </c>
      <c r="B9" s="122" t="s">
        <v>173</v>
      </c>
      <c r="C9" s="123"/>
      <c r="D9" s="144"/>
      <c r="E9" s="125" t="s">
        <v>85</v>
      </c>
      <c r="F9" s="126">
        <f>1122.6+87980</f>
        <v>89102.6</v>
      </c>
      <c r="G9" s="127">
        <v>0.1</v>
      </c>
      <c r="H9" s="128">
        <f t="shared" si="0"/>
        <v>98012.860000000015</v>
      </c>
      <c r="I9" s="129" t="s">
        <v>18</v>
      </c>
      <c r="J9" s="130">
        <v>0</v>
      </c>
      <c r="K9" s="131">
        <f t="shared" ref="K9" si="1">J9*H9</f>
        <v>0</v>
      </c>
      <c r="L9" s="132"/>
      <c r="M9" s="153"/>
      <c r="N9" s="240"/>
      <c r="O9" s="240"/>
      <c r="P9" s="258"/>
      <c r="Q9" s="240"/>
    </row>
    <row r="10" spans="1:19" s="1" customFormat="1" ht="16.5" thickBot="1" x14ac:dyDescent="0.25">
      <c r="A10" s="111" t="str">
        <f>IF(F10&lt;&gt;"",1+MAX($A$7:A9),"")</f>
        <v/>
      </c>
      <c r="B10" s="2"/>
      <c r="C10" s="2"/>
      <c r="D10" s="41"/>
      <c r="E10" s="55"/>
      <c r="F10" s="46"/>
      <c r="G10" s="47"/>
      <c r="H10" s="46"/>
      <c r="I10" s="48"/>
      <c r="J10" s="135"/>
      <c r="K10" s="66"/>
      <c r="L10" s="23"/>
      <c r="M10" s="155"/>
      <c r="N10" s="259"/>
      <c r="O10" s="259"/>
      <c r="P10" s="259"/>
      <c r="Q10" s="259"/>
    </row>
    <row r="11" spans="1:19" s="1" customFormat="1" ht="16.5" thickBot="1" x14ac:dyDescent="0.25">
      <c r="A11" s="111" t="str">
        <f>IF(F11&lt;&gt;"",1+MAX($A$7:A10),"")</f>
        <v/>
      </c>
      <c r="B11" s="2"/>
      <c r="C11" s="2"/>
      <c r="D11" s="41"/>
      <c r="E11" s="55" t="s">
        <v>38</v>
      </c>
      <c r="F11" s="31"/>
      <c r="G11" s="25"/>
      <c r="H11" s="4"/>
      <c r="I11" s="26"/>
      <c r="J11" s="112"/>
      <c r="K11" s="69"/>
      <c r="L11" s="136">
        <f>SUM(K8:K10)</f>
        <v>0</v>
      </c>
      <c r="M11" s="155"/>
      <c r="N11" s="258"/>
      <c r="O11" s="259"/>
      <c r="P11" s="259"/>
      <c r="Q11" s="259"/>
    </row>
    <row r="12" spans="1:19" s="143" customFormat="1" ht="19.5" thickBot="1" x14ac:dyDescent="0.25">
      <c r="A12" s="111" t="str">
        <f>IF(F12&lt;&gt;"",1+MAX($A$7:A11),"")</f>
        <v/>
      </c>
      <c r="B12" s="122"/>
      <c r="C12" s="123"/>
      <c r="D12" s="137"/>
      <c r="E12" s="138"/>
      <c r="F12" s="139"/>
      <c r="G12" s="127"/>
      <c r="H12" s="140"/>
      <c r="I12" s="141"/>
      <c r="J12" s="134"/>
      <c r="K12" s="142"/>
      <c r="L12" s="132"/>
      <c r="M12" s="154"/>
      <c r="N12" s="260"/>
      <c r="O12" s="260"/>
      <c r="P12" s="260"/>
    </row>
    <row r="13" spans="1:19" s="13" customFormat="1" ht="16.5" thickBot="1" x14ac:dyDescent="0.25">
      <c r="A13" s="111" t="str">
        <f>IF(F13&lt;&gt;"",1+MAX($A$7:A12),"")</f>
        <v/>
      </c>
      <c r="B13" s="61"/>
      <c r="C13" s="27"/>
      <c r="D13" s="27" t="s">
        <v>78</v>
      </c>
      <c r="E13" s="51" t="s">
        <v>79</v>
      </c>
      <c r="F13" s="30"/>
      <c r="G13" s="24"/>
      <c r="H13" s="24"/>
      <c r="I13" s="24"/>
      <c r="J13" s="71"/>
      <c r="K13" s="64"/>
      <c r="L13" s="21"/>
      <c r="M13" s="156"/>
    </row>
    <row r="14" spans="1:19" s="1" customFormat="1" ht="16.5" thickBot="1" x14ac:dyDescent="0.25">
      <c r="A14" s="111" t="str">
        <f>IF(F14&lt;&gt;"",1+MAX($A$7:A13),"")</f>
        <v/>
      </c>
      <c r="B14" s="32"/>
      <c r="C14" s="219"/>
      <c r="D14" s="220"/>
      <c r="E14" s="221" t="s">
        <v>86</v>
      </c>
      <c r="F14" s="222"/>
      <c r="G14" s="237"/>
      <c r="H14" s="238"/>
      <c r="I14" s="239"/>
      <c r="J14" s="228"/>
      <c r="K14" s="229"/>
      <c r="L14" s="21"/>
      <c r="M14" s="151"/>
    </row>
    <row r="15" spans="1:19" s="187" customFormat="1" x14ac:dyDescent="0.2">
      <c r="A15" s="111" t="str">
        <f>IF(F15&lt;&gt;"",1+MAX($A$7:A14),"")</f>
        <v/>
      </c>
      <c r="B15" s="207"/>
      <c r="C15" s="32"/>
      <c r="D15" s="201"/>
      <c r="E15" s="208" t="s">
        <v>87</v>
      </c>
      <c r="F15" s="203"/>
      <c r="G15" s="25"/>
      <c r="H15" s="209"/>
      <c r="I15" s="5"/>
      <c r="J15" s="236"/>
      <c r="K15" s="211"/>
      <c r="L15" s="206"/>
    </row>
    <row r="16" spans="1:19" s="133" customFormat="1" ht="18.75" x14ac:dyDescent="0.2">
      <c r="A16" s="111">
        <f>IF(F16&lt;&gt;"",1+MAX($A$7:A15),"")</f>
        <v>3</v>
      </c>
      <c r="B16" s="122" t="s">
        <v>930</v>
      </c>
      <c r="C16" s="123"/>
      <c r="D16" s="144"/>
      <c r="E16" s="125" t="s">
        <v>426</v>
      </c>
      <c r="F16" s="126">
        <f>8.15*81</f>
        <v>660.15</v>
      </c>
      <c r="G16" s="127">
        <v>0.1</v>
      </c>
      <c r="H16" s="128">
        <f t="shared" ref="H16" si="2">F16*(1+G16)</f>
        <v>726.16500000000008</v>
      </c>
      <c r="I16" s="129" t="s">
        <v>427</v>
      </c>
      <c r="J16" s="130">
        <v>0</v>
      </c>
      <c r="K16" s="65">
        <f t="shared" ref="K16" si="3">J16*H16</f>
        <v>0</v>
      </c>
      <c r="L16" s="132"/>
      <c r="M16" s="153"/>
      <c r="N16" s="145"/>
    </row>
    <row r="17" spans="1:14" s="187" customFormat="1" x14ac:dyDescent="0.2">
      <c r="A17" s="111" t="str">
        <f>IF(F17&lt;&gt;"",1+MAX($A$7:A16),"")</f>
        <v/>
      </c>
      <c r="B17" s="207"/>
      <c r="C17" s="32"/>
      <c r="D17" s="201"/>
      <c r="E17" s="208" t="s">
        <v>428</v>
      </c>
      <c r="F17" s="203"/>
      <c r="G17" s="25"/>
      <c r="H17" s="209"/>
      <c r="I17" s="5"/>
      <c r="J17" s="236"/>
      <c r="K17" s="211"/>
      <c r="L17" s="206"/>
    </row>
    <row r="18" spans="1:14" s="133" customFormat="1" ht="18.75" x14ac:dyDescent="0.2">
      <c r="A18" s="111">
        <f>IF(F18&lt;&gt;"",1+MAX($A$7:A17),"")</f>
        <v>4</v>
      </c>
      <c r="B18" s="122" t="s">
        <v>930</v>
      </c>
      <c r="C18" s="123"/>
      <c r="D18" s="144"/>
      <c r="E18" s="125" t="s">
        <v>429</v>
      </c>
      <c r="F18" s="126">
        <f>9.8*15</f>
        <v>147</v>
      </c>
      <c r="G18" s="127">
        <v>0.1</v>
      </c>
      <c r="H18" s="128">
        <f t="shared" ref="H18" si="4">F18*(1+G18)</f>
        <v>161.70000000000002</v>
      </c>
      <c r="I18" s="129" t="s">
        <v>427</v>
      </c>
      <c r="J18" s="236">
        <f>J$16</f>
        <v>0</v>
      </c>
      <c r="K18" s="65">
        <f t="shared" ref="K18" si="5">J18*H18</f>
        <v>0</v>
      </c>
      <c r="L18" s="132"/>
      <c r="M18" s="153"/>
      <c r="N18" s="145"/>
    </row>
    <row r="19" spans="1:14" s="133" customFormat="1" ht="18.75" x14ac:dyDescent="0.2">
      <c r="A19" s="111" t="str">
        <f>IF(F19&lt;&gt;"",1+MAX($A$7:A18),"")</f>
        <v/>
      </c>
      <c r="B19" s="122"/>
      <c r="C19" s="123"/>
      <c r="D19" s="144"/>
      <c r="E19" s="208" t="s">
        <v>88</v>
      </c>
      <c r="F19" s="126"/>
      <c r="G19" s="126"/>
      <c r="H19" s="126"/>
      <c r="I19" s="126"/>
      <c r="J19" s="126"/>
      <c r="K19" s="65"/>
      <c r="L19" s="132"/>
      <c r="M19" s="153"/>
      <c r="N19" s="145"/>
    </row>
    <row r="20" spans="1:14" s="133" customFormat="1" ht="18.75" x14ac:dyDescent="0.2">
      <c r="A20" s="111">
        <f>IF(F20&lt;&gt;"",1+MAX($A$7:A19),"")</f>
        <v>5</v>
      </c>
      <c r="B20" s="122" t="s">
        <v>930</v>
      </c>
      <c r="C20" s="123"/>
      <c r="D20" s="144"/>
      <c r="E20" s="125" t="s">
        <v>89</v>
      </c>
      <c r="F20" s="126">
        <v>9</v>
      </c>
      <c r="G20" s="127">
        <v>0.1</v>
      </c>
      <c r="H20" s="128">
        <f t="shared" ref="H20" si="6">F20*(1+G20)</f>
        <v>9.9</v>
      </c>
      <c r="I20" s="129" t="s">
        <v>20</v>
      </c>
      <c r="J20" s="130">
        <v>0</v>
      </c>
      <c r="K20" s="65">
        <f t="shared" ref="K20" si="7">J20*H20</f>
        <v>0</v>
      </c>
      <c r="L20" s="132"/>
      <c r="M20" s="153"/>
      <c r="N20" s="145"/>
    </row>
    <row r="21" spans="1:14" s="133" customFormat="1" ht="18.75" x14ac:dyDescent="0.2">
      <c r="A21" s="111">
        <f>IF(F21&lt;&gt;"",1+MAX($A$7:A20),"")</f>
        <v>6</v>
      </c>
      <c r="B21" s="122" t="s">
        <v>930</v>
      </c>
      <c r="C21" s="123"/>
      <c r="D21" s="144"/>
      <c r="E21" s="125" t="s">
        <v>90</v>
      </c>
      <c r="F21" s="126">
        <v>9</v>
      </c>
      <c r="G21" s="127">
        <v>0.1</v>
      </c>
      <c r="H21" s="128">
        <f t="shared" ref="H21" si="8">F21*(1+G21)</f>
        <v>9.9</v>
      </c>
      <c r="I21" s="129" t="s">
        <v>20</v>
      </c>
      <c r="J21" s="130">
        <v>0</v>
      </c>
      <c r="K21" s="65">
        <f t="shared" ref="K21" si="9">J21*H21</f>
        <v>0</v>
      </c>
      <c r="L21" s="132"/>
      <c r="M21" s="153"/>
      <c r="N21" s="145"/>
    </row>
    <row r="22" spans="1:14" s="1" customFormat="1" ht="16.5" thickBot="1" x14ac:dyDescent="0.25">
      <c r="A22" s="111" t="str">
        <f>IF(F22&lt;&gt;"",1+MAX($A$7:A21),"")</f>
        <v/>
      </c>
      <c r="B22" s="45"/>
      <c r="C22" s="2"/>
      <c r="D22" s="41"/>
      <c r="E22" s="19"/>
      <c r="F22" s="46"/>
      <c r="G22" s="47"/>
      <c r="H22" s="46"/>
      <c r="I22" s="48"/>
      <c r="J22" s="74"/>
      <c r="K22" s="66"/>
      <c r="L22" s="58"/>
      <c r="M22" s="151"/>
    </row>
    <row r="23" spans="1:14" s="1" customFormat="1" ht="16.5" thickBot="1" x14ac:dyDescent="0.25">
      <c r="A23" s="111" t="str">
        <f>IF(F23&lt;&gt;"",1+MAX($A$7:A22),"")</f>
        <v/>
      </c>
      <c r="B23" s="2"/>
      <c r="C23" s="2"/>
      <c r="D23" s="41"/>
      <c r="E23" s="55" t="s">
        <v>1330</v>
      </c>
      <c r="F23" s="31"/>
      <c r="G23" s="25"/>
      <c r="H23" s="4"/>
      <c r="I23" s="26"/>
      <c r="J23" s="75"/>
      <c r="K23" s="69"/>
      <c r="L23" s="59">
        <f>SUM(K14:K22)</f>
        <v>0</v>
      </c>
      <c r="M23" s="151"/>
    </row>
    <row r="24" spans="1:14" s="143" customFormat="1" ht="19.5" thickBot="1" x14ac:dyDescent="0.25">
      <c r="A24" s="111" t="str">
        <f>IF(F24&lt;&gt;"",1+MAX($A$7:A23),"")</f>
        <v/>
      </c>
      <c r="B24" s="122"/>
      <c r="C24" s="123"/>
      <c r="D24" s="146"/>
      <c r="E24" s="138"/>
      <c r="F24" s="139"/>
      <c r="G24" s="127"/>
      <c r="H24" s="140"/>
      <c r="I24" s="141"/>
      <c r="J24" s="134"/>
      <c r="K24" s="142"/>
      <c r="L24" s="132"/>
      <c r="M24" s="154"/>
      <c r="N24" s="147"/>
    </row>
    <row r="25" spans="1:14" s="1" customFormat="1" ht="16.5" thickBot="1" x14ac:dyDescent="0.25">
      <c r="A25" s="111" t="str">
        <f>IF(F25&lt;&gt;"",1+MAX($A$7:A24),"")</f>
        <v/>
      </c>
      <c r="B25" s="32"/>
      <c r="C25" s="219"/>
      <c r="D25" s="220"/>
      <c r="E25" s="221" t="s">
        <v>488</v>
      </c>
      <c r="F25" s="222"/>
      <c r="G25" s="223"/>
      <c r="H25" s="224"/>
      <c r="I25" s="225"/>
      <c r="J25" s="241"/>
      <c r="K25" s="242"/>
      <c r="L25" s="21"/>
      <c r="M25" s="151"/>
    </row>
    <row r="26" spans="1:14" s="133" customFormat="1" ht="78.75" x14ac:dyDescent="0.2">
      <c r="A26" s="111">
        <f>IF(F26&lt;&gt;"",1+MAX($A$7:A25),"")</f>
        <v>7</v>
      </c>
      <c r="B26" s="122" t="s">
        <v>490</v>
      </c>
      <c r="C26" s="123" t="s">
        <v>933</v>
      </c>
      <c r="D26" s="144"/>
      <c r="E26" s="138" t="s">
        <v>932</v>
      </c>
      <c r="F26" s="139">
        <v>1</v>
      </c>
      <c r="G26" s="127">
        <v>0</v>
      </c>
      <c r="H26" s="128">
        <f t="shared" ref="H26" si="10">F26*(1+G26)</f>
        <v>1</v>
      </c>
      <c r="I26" s="129" t="s">
        <v>489</v>
      </c>
      <c r="J26" s="130">
        <v>0</v>
      </c>
      <c r="K26" s="131">
        <f t="shared" ref="K26" si="11">J26*H26</f>
        <v>0</v>
      </c>
      <c r="L26" s="132"/>
      <c r="M26" s="153"/>
      <c r="N26" s="145"/>
    </row>
    <row r="27" spans="1:14" s="1" customFormat="1" ht="16.5" thickBot="1" x14ac:dyDescent="0.25">
      <c r="A27" s="111" t="str">
        <f>IF(F27&lt;&gt;"",1+MAX($A$7:A26),"")</f>
        <v/>
      </c>
      <c r="B27" s="45"/>
      <c r="C27" s="2"/>
      <c r="D27" s="41"/>
      <c r="E27" s="19"/>
      <c r="F27" s="46"/>
      <c r="G27" s="47"/>
      <c r="H27" s="46"/>
      <c r="I27" s="48"/>
      <c r="J27" s="74"/>
      <c r="K27" s="66"/>
      <c r="L27" s="58"/>
      <c r="M27" s="151"/>
    </row>
    <row r="28" spans="1:14" s="1" customFormat="1" ht="16.5" thickBot="1" x14ac:dyDescent="0.25">
      <c r="A28" s="111" t="str">
        <f>IF(F28&lt;&gt;"",1+MAX($A$7:A27),"")</f>
        <v/>
      </c>
      <c r="B28" s="2"/>
      <c r="C28" s="2"/>
      <c r="D28" s="41"/>
      <c r="E28" s="55" t="s">
        <v>1016</v>
      </c>
      <c r="F28" s="31"/>
      <c r="G28" s="25"/>
      <c r="H28" s="4"/>
      <c r="I28" s="26"/>
      <c r="J28" s="75"/>
      <c r="K28" s="69"/>
      <c r="L28" s="59">
        <f>SUM(K25:K27)</f>
        <v>0</v>
      </c>
      <c r="M28" s="151"/>
    </row>
    <row r="29" spans="1:14" s="143" customFormat="1" ht="19.5" thickBot="1" x14ac:dyDescent="0.25">
      <c r="A29" s="111" t="str">
        <f>IF(F29&lt;&gt;"",1+MAX($A$7:A28),"")</f>
        <v/>
      </c>
      <c r="B29" s="122"/>
      <c r="C29" s="123"/>
      <c r="D29" s="146"/>
      <c r="E29" s="138"/>
      <c r="F29" s="139"/>
      <c r="G29" s="127"/>
      <c r="H29" s="140"/>
      <c r="I29" s="141"/>
      <c r="J29" s="134"/>
      <c r="K29" s="142"/>
      <c r="L29" s="132"/>
      <c r="M29" s="154"/>
      <c r="N29" s="147"/>
    </row>
    <row r="30" spans="1:14" s="1" customFormat="1" ht="16.5" thickBot="1" x14ac:dyDescent="0.25">
      <c r="A30" s="111" t="str">
        <f>IF(F30&lt;&gt;"",1+MAX($A$7:A29),"")</f>
        <v/>
      </c>
      <c r="B30" s="32"/>
      <c r="C30" s="219"/>
      <c r="D30" s="220"/>
      <c r="E30" s="221" t="s">
        <v>80</v>
      </c>
      <c r="F30" s="222"/>
      <c r="G30" s="223"/>
      <c r="H30" s="224"/>
      <c r="I30" s="225"/>
      <c r="J30" s="241"/>
      <c r="K30" s="242"/>
      <c r="L30" s="21"/>
      <c r="M30" s="151"/>
    </row>
    <row r="31" spans="1:14" s="133" customFormat="1" ht="94.5" x14ac:dyDescent="0.2">
      <c r="A31" s="111">
        <f>IF(F31&lt;&gt;"",1+MAX($A$7:A30),"")</f>
        <v>8</v>
      </c>
      <c r="B31" s="122" t="s">
        <v>215</v>
      </c>
      <c r="C31" s="123" t="s">
        <v>934</v>
      </c>
      <c r="D31" s="144"/>
      <c r="E31" s="138" t="s">
        <v>931</v>
      </c>
      <c r="F31" s="139">
        <f>218*1.1</f>
        <v>239.8</v>
      </c>
      <c r="G31" s="127">
        <v>0.1</v>
      </c>
      <c r="H31" s="128">
        <f t="shared" ref="H31" si="12">F31*(1+G31)</f>
        <v>263.78000000000003</v>
      </c>
      <c r="I31" s="129" t="s">
        <v>15</v>
      </c>
      <c r="J31" s="130">
        <v>0</v>
      </c>
      <c r="K31" s="131">
        <f t="shared" ref="K31" si="13">J31*H31</f>
        <v>0</v>
      </c>
      <c r="L31" s="132"/>
      <c r="M31" s="153"/>
      <c r="N31" s="145"/>
    </row>
    <row r="32" spans="1:14" s="133" customFormat="1" ht="94.5" x14ac:dyDescent="0.2">
      <c r="A32" s="111">
        <f>IF(F32&lt;&gt;"",1+MAX($A$7:A31),"")</f>
        <v>9</v>
      </c>
      <c r="B32" s="122" t="s">
        <v>215</v>
      </c>
      <c r="C32" s="123" t="s">
        <v>934</v>
      </c>
      <c r="D32" s="144"/>
      <c r="E32" s="138" t="s">
        <v>935</v>
      </c>
      <c r="F32" s="139">
        <f>181.6*1.1</f>
        <v>199.76000000000002</v>
      </c>
      <c r="G32" s="127">
        <v>0.1</v>
      </c>
      <c r="H32" s="128">
        <f t="shared" ref="H32" si="14">F32*(1+G32)</f>
        <v>219.73600000000005</v>
      </c>
      <c r="I32" s="129" t="s">
        <v>15</v>
      </c>
      <c r="J32" s="130">
        <v>0</v>
      </c>
      <c r="K32" s="131">
        <f t="shared" ref="K32" si="15">J32*H32</f>
        <v>0</v>
      </c>
      <c r="L32" s="132"/>
      <c r="M32" s="153"/>
      <c r="N32" s="145"/>
    </row>
    <row r="33" spans="1:14" s="133" customFormat="1" ht="19.5" thickBot="1" x14ac:dyDescent="0.25">
      <c r="A33" s="111" t="str">
        <f>IF(F33&lt;&gt;"",1+MAX($A$7:A32),"")</f>
        <v/>
      </c>
      <c r="B33" s="122"/>
      <c r="C33" s="123"/>
      <c r="D33" s="144"/>
      <c r="E33" s="125"/>
      <c r="F33" s="126"/>
      <c r="G33" s="127"/>
      <c r="H33" s="128"/>
      <c r="I33" s="128"/>
      <c r="J33" s="128"/>
      <c r="K33" s="65"/>
      <c r="L33" s="132"/>
      <c r="M33" s="153"/>
      <c r="N33" s="145"/>
    </row>
    <row r="34" spans="1:14" s="1" customFormat="1" ht="16.5" thickBot="1" x14ac:dyDescent="0.25">
      <c r="A34" s="111" t="str">
        <f>IF(F34&lt;&gt;"",1+MAX($A$7:A33),"")</f>
        <v/>
      </c>
      <c r="B34" s="32"/>
      <c r="C34" s="219"/>
      <c r="D34" s="220"/>
      <c r="E34" s="221" t="s">
        <v>936</v>
      </c>
      <c r="F34" s="222"/>
      <c r="G34" s="223"/>
      <c r="H34" s="224"/>
      <c r="I34" s="225"/>
      <c r="J34" s="241"/>
      <c r="K34" s="242"/>
      <c r="L34" s="21"/>
      <c r="M34" s="151"/>
    </row>
    <row r="35" spans="1:14" s="133" customFormat="1" ht="18.75" x14ac:dyDescent="0.2">
      <c r="A35" s="111">
        <f>IF(F35&lt;&gt;"",1+MAX($A$7:A34),"")</f>
        <v>10</v>
      </c>
      <c r="B35" s="122" t="s">
        <v>173</v>
      </c>
      <c r="C35" s="123" t="s">
        <v>938</v>
      </c>
      <c r="D35" s="144"/>
      <c r="E35" s="138" t="s">
        <v>937</v>
      </c>
      <c r="F35" s="139">
        <v>29.3</v>
      </c>
      <c r="G35" s="127">
        <v>0.1</v>
      </c>
      <c r="H35" s="128">
        <f t="shared" ref="H35" si="16">F35*(1+G35)</f>
        <v>32.230000000000004</v>
      </c>
      <c r="I35" s="129" t="s">
        <v>15</v>
      </c>
      <c r="J35" s="130">
        <v>0</v>
      </c>
      <c r="K35" s="131">
        <f t="shared" ref="K35" si="17">J35*H35</f>
        <v>0</v>
      </c>
      <c r="L35" s="132"/>
      <c r="M35" s="153"/>
      <c r="N35" s="145"/>
    </row>
    <row r="36" spans="1:14" s="1" customFormat="1" ht="16.5" thickBot="1" x14ac:dyDescent="0.25">
      <c r="A36" s="111" t="str">
        <f>IF(F36&lt;&gt;"",1+MAX($A$7:A35),"")</f>
        <v/>
      </c>
      <c r="B36" s="45"/>
      <c r="C36" s="2"/>
      <c r="D36" s="41"/>
      <c r="E36" s="19"/>
      <c r="F36" s="46"/>
      <c r="G36" s="47"/>
      <c r="H36" s="46"/>
      <c r="I36" s="48"/>
      <c r="J36" s="74"/>
      <c r="K36" s="66"/>
      <c r="L36" s="58"/>
      <c r="M36" s="151"/>
    </row>
    <row r="37" spans="1:14" s="1" customFormat="1" ht="16.5" thickBot="1" x14ac:dyDescent="0.25">
      <c r="A37" s="111" t="str">
        <f>IF(F37&lt;&gt;"",1+MAX($A$7:A36),"")</f>
        <v/>
      </c>
      <c r="B37" s="2"/>
      <c r="C37" s="2"/>
      <c r="D37" s="41"/>
      <c r="E37" s="55" t="s">
        <v>1017</v>
      </c>
      <c r="F37" s="31"/>
      <c r="G37" s="25"/>
      <c r="H37" s="4"/>
      <c r="I37" s="26"/>
      <c r="J37" s="75"/>
      <c r="K37" s="69"/>
      <c r="L37" s="59">
        <f>SUM(K30:K36)</f>
        <v>0</v>
      </c>
      <c r="M37" s="151"/>
    </row>
    <row r="38" spans="1:14" s="143" customFormat="1" ht="19.5" thickBot="1" x14ac:dyDescent="0.25">
      <c r="A38" s="111" t="str">
        <f>IF(F38&lt;&gt;"",1+MAX($A$7:A37),"")</f>
        <v/>
      </c>
      <c r="B38" s="122"/>
      <c r="C38" s="123"/>
      <c r="D38" s="146"/>
      <c r="E38" s="138"/>
      <c r="F38" s="139"/>
      <c r="G38" s="127"/>
      <c r="H38" s="140"/>
      <c r="I38" s="141"/>
      <c r="J38" s="134"/>
      <c r="K38" s="142"/>
      <c r="L38" s="132"/>
      <c r="M38" s="154"/>
      <c r="N38" s="147"/>
    </row>
    <row r="39" spans="1:14" s="13" customFormat="1" ht="16.5" thickBot="1" x14ac:dyDescent="0.25">
      <c r="A39" s="111" t="str">
        <f>IF(F39&lt;&gt;"",1+MAX($A$7:A38),"")</f>
        <v/>
      </c>
      <c r="B39" s="61"/>
      <c r="C39" s="27"/>
      <c r="D39" s="27" t="s">
        <v>81</v>
      </c>
      <c r="E39" s="51" t="s">
        <v>82</v>
      </c>
      <c r="F39" s="30"/>
      <c r="G39" s="24"/>
      <c r="H39" s="24"/>
      <c r="I39" s="24"/>
      <c r="J39" s="71"/>
      <c r="K39" s="64"/>
      <c r="L39" s="21"/>
      <c r="M39" s="156"/>
    </row>
    <row r="40" spans="1:14" s="1" customFormat="1" ht="16.5" thickBot="1" x14ac:dyDescent="0.25">
      <c r="A40" s="111" t="str">
        <f>IF(F40&lt;&gt;"",1+MAX($A$7:A39),"")</f>
        <v/>
      </c>
      <c r="B40" s="32"/>
      <c r="C40" s="219"/>
      <c r="D40" s="220"/>
      <c r="E40" s="221" t="s">
        <v>262</v>
      </c>
      <c r="F40" s="222"/>
      <c r="G40" s="223"/>
      <c r="H40" s="224"/>
      <c r="I40" s="225"/>
      <c r="J40" s="228"/>
      <c r="K40" s="229"/>
      <c r="L40" s="21"/>
      <c r="M40" s="151"/>
    </row>
    <row r="41" spans="1:14" s="133" customFormat="1" ht="18.75" x14ac:dyDescent="0.2">
      <c r="A41" s="111">
        <f>IF(F41&lt;&gt;"",1+MAX($A$7:A40),"")</f>
        <v>11</v>
      </c>
      <c r="B41" s="122" t="s">
        <v>242</v>
      </c>
      <c r="C41" s="123"/>
      <c r="D41" s="144"/>
      <c r="E41" s="125" t="s">
        <v>1010</v>
      </c>
      <c r="F41" s="126">
        <v>1</v>
      </c>
      <c r="G41" s="127">
        <v>0</v>
      </c>
      <c r="H41" s="128">
        <f t="shared" ref="H41" si="18">F41*(1+G41)</f>
        <v>1</v>
      </c>
      <c r="I41" s="129" t="s">
        <v>27</v>
      </c>
      <c r="J41" s="130">
        <v>0</v>
      </c>
      <c r="K41" s="131">
        <f t="shared" ref="K41" si="19">J41*H41</f>
        <v>0</v>
      </c>
      <c r="L41" s="132"/>
      <c r="M41" s="153"/>
      <c r="N41" s="145"/>
    </row>
    <row r="42" spans="1:14" s="1" customFormat="1" ht="16.5" thickBot="1" x14ac:dyDescent="0.25">
      <c r="A42" s="111" t="str">
        <f>IF(F42&lt;&gt;"",1+MAX($A$7:A41),"")</f>
        <v/>
      </c>
      <c r="B42" s="45"/>
      <c r="C42" s="2"/>
      <c r="D42" s="41"/>
      <c r="F42" s="46"/>
      <c r="G42" s="47"/>
      <c r="H42" s="46"/>
      <c r="I42" s="48"/>
      <c r="J42" s="74"/>
      <c r="K42" s="66"/>
      <c r="L42" s="58"/>
      <c r="M42" s="151"/>
    </row>
    <row r="43" spans="1:14" s="1" customFormat="1" ht="16.5" thickBot="1" x14ac:dyDescent="0.25">
      <c r="A43" s="111" t="str">
        <f>IF(F43&lt;&gt;"",1+MAX($A$7:A42),"")</f>
        <v/>
      </c>
      <c r="B43" s="2"/>
      <c r="C43" s="2"/>
      <c r="D43" s="41"/>
      <c r="E43" s="55" t="s">
        <v>1012</v>
      </c>
      <c r="F43" s="31"/>
      <c r="G43" s="25"/>
      <c r="H43" s="4"/>
      <c r="I43" s="26"/>
      <c r="J43" s="75"/>
      <c r="K43" s="69"/>
      <c r="L43" s="59">
        <f>SUM(K40:K42)</f>
        <v>0</v>
      </c>
      <c r="M43" s="151"/>
    </row>
    <row r="44" spans="1:14" s="143" customFormat="1" ht="19.5" thickBot="1" x14ac:dyDescent="0.25">
      <c r="A44" s="111" t="str">
        <f>IF(F44&lt;&gt;"",1+MAX($A$7:A43),"")</f>
        <v/>
      </c>
      <c r="B44" s="122"/>
      <c r="C44" s="123"/>
      <c r="D44" s="146"/>
      <c r="E44" s="138"/>
      <c r="F44" s="139"/>
      <c r="G44" s="127"/>
      <c r="H44" s="140"/>
      <c r="I44" s="141"/>
      <c r="J44" s="261"/>
      <c r="K44" s="262"/>
      <c r="L44" s="132"/>
      <c r="M44" s="154"/>
      <c r="N44" s="147"/>
    </row>
    <row r="45" spans="1:14" s="1" customFormat="1" ht="16.5" thickBot="1" x14ac:dyDescent="0.25">
      <c r="A45" s="111" t="str">
        <f>IF(F45&lt;&gt;"",1+MAX($A$7:A44),"")</f>
        <v/>
      </c>
      <c r="B45" s="32"/>
      <c r="C45" s="219"/>
      <c r="D45" s="220"/>
      <c r="E45" s="221" t="s">
        <v>401</v>
      </c>
      <c r="F45" s="222"/>
      <c r="G45" s="223"/>
      <c r="H45" s="224"/>
      <c r="I45" s="225"/>
      <c r="J45" s="241"/>
      <c r="K45" s="242"/>
      <c r="L45" s="21"/>
      <c r="M45" s="151"/>
    </row>
    <row r="46" spans="1:14" s="133" customFormat="1" ht="18.75" x14ac:dyDescent="0.2">
      <c r="A46" s="111">
        <f>IF(F46&lt;&gt;"",1+MAX($A$7:A45),"")</f>
        <v>12</v>
      </c>
      <c r="B46" s="122" t="s">
        <v>242</v>
      </c>
      <c r="C46" s="123"/>
      <c r="D46" s="144"/>
      <c r="E46" s="125" t="s">
        <v>1011</v>
      </c>
      <c r="F46" s="126">
        <v>1</v>
      </c>
      <c r="G46" s="127">
        <v>0</v>
      </c>
      <c r="H46" s="128">
        <f t="shared" ref="H46" si="20">F46*(1+G46)</f>
        <v>1</v>
      </c>
      <c r="I46" s="129" t="s">
        <v>27</v>
      </c>
      <c r="J46" s="130">
        <v>0</v>
      </c>
      <c r="K46" s="131">
        <f t="shared" ref="K46" si="21">J46*H46</f>
        <v>0</v>
      </c>
      <c r="L46" s="132"/>
      <c r="M46" s="153"/>
      <c r="N46" s="145"/>
    </row>
    <row r="47" spans="1:14" s="1" customFormat="1" ht="16.5" thickBot="1" x14ac:dyDescent="0.25">
      <c r="A47" s="111" t="str">
        <f>IF(F47&lt;&gt;"",1+MAX($A$7:A46),"")</f>
        <v/>
      </c>
      <c r="B47" s="45"/>
      <c r="C47" s="2"/>
      <c r="D47" s="41"/>
      <c r="F47" s="46"/>
      <c r="G47" s="47"/>
      <c r="H47" s="46"/>
      <c r="I47" s="48"/>
      <c r="J47" s="74"/>
      <c r="K47" s="66"/>
      <c r="L47" s="58"/>
      <c r="M47" s="151"/>
    </row>
    <row r="48" spans="1:14" s="1" customFormat="1" ht="16.5" thickBot="1" x14ac:dyDescent="0.25">
      <c r="A48" s="111" t="str">
        <f>IF(F48&lt;&gt;"",1+MAX($A$7:A47),"")</f>
        <v/>
      </c>
      <c r="B48" s="2"/>
      <c r="C48" s="2"/>
      <c r="D48" s="41"/>
      <c r="E48" s="55" t="s">
        <v>1013</v>
      </c>
      <c r="F48" s="31"/>
      <c r="G48" s="25"/>
      <c r="H48" s="4"/>
      <c r="I48" s="26"/>
      <c r="J48" s="75"/>
      <c r="K48" s="69"/>
      <c r="L48" s="59">
        <f>SUM(K45:K47)</f>
        <v>0</v>
      </c>
      <c r="M48" s="151"/>
    </row>
    <row r="49" spans="1:14" s="143" customFormat="1" ht="19.5" thickBot="1" x14ac:dyDescent="0.25">
      <c r="A49" s="111" t="str">
        <f>IF(F49&lt;&gt;"",1+MAX($A$7:A48),"")</f>
        <v/>
      </c>
      <c r="B49" s="122"/>
      <c r="C49" s="123"/>
      <c r="D49" s="146"/>
      <c r="E49" s="138"/>
      <c r="F49" s="139"/>
      <c r="G49" s="127"/>
      <c r="H49" s="140"/>
      <c r="I49" s="141"/>
      <c r="J49" s="261"/>
      <c r="K49" s="262"/>
      <c r="L49" s="132"/>
      <c r="M49" s="154"/>
      <c r="N49" s="147"/>
    </row>
    <row r="50" spans="1:14" s="1" customFormat="1" ht="16.5" thickBot="1" x14ac:dyDescent="0.25">
      <c r="A50" s="111" t="str">
        <f>IF(F50&lt;&gt;"",1+MAX($A$7:A49),"")</f>
        <v/>
      </c>
      <c r="B50" s="32"/>
      <c r="C50" s="219"/>
      <c r="D50" s="220"/>
      <c r="E50" s="221" t="s">
        <v>91</v>
      </c>
      <c r="F50" s="222"/>
      <c r="G50" s="223"/>
      <c r="H50" s="224"/>
      <c r="I50" s="225"/>
      <c r="J50" s="241"/>
      <c r="K50" s="242"/>
      <c r="L50" s="21"/>
      <c r="M50" s="151"/>
    </row>
    <row r="51" spans="1:14" s="133" customFormat="1" ht="18.75" x14ac:dyDescent="0.2">
      <c r="A51" s="111">
        <f>IF(F51&lt;&gt;"",1+MAX($A$7:A50),"")</f>
        <v>13</v>
      </c>
      <c r="B51" s="122" t="s">
        <v>242</v>
      </c>
      <c r="C51" s="123"/>
      <c r="D51" s="144"/>
      <c r="E51" s="125" t="s">
        <v>94</v>
      </c>
      <c r="F51" s="126">
        <v>17189</v>
      </c>
      <c r="G51" s="127">
        <v>0.1</v>
      </c>
      <c r="H51" s="128">
        <f t="shared" ref="H51:H52" si="22">F51*(1+G51)</f>
        <v>18907.900000000001</v>
      </c>
      <c r="I51" s="129" t="s">
        <v>15</v>
      </c>
      <c r="J51" s="130">
        <v>0</v>
      </c>
      <c r="K51" s="131">
        <f t="shared" ref="K51:K52" si="23">J51*H51</f>
        <v>0</v>
      </c>
      <c r="L51" s="132"/>
      <c r="M51" s="153"/>
      <c r="N51" s="145"/>
    </row>
    <row r="52" spans="1:14" s="133" customFormat="1" ht="18.75" x14ac:dyDescent="0.2">
      <c r="A52" s="111">
        <f>IF(F52&lt;&gt;"",1+MAX($A$7:A51),"")</f>
        <v>14</v>
      </c>
      <c r="B52" s="122" t="s">
        <v>225</v>
      </c>
      <c r="C52" s="123"/>
      <c r="D52" s="144"/>
      <c r="E52" s="125" t="s">
        <v>93</v>
      </c>
      <c r="F52" s="126">
        <v>5013</v>
      </c>
      <c r="G52" s="127">
        <v>0.1</v>
      </c>
      <c r="H52" s="128">
        <f t="shared" si="22"/>
        <v>5514.3</v>
      </c>
      <c r="I52" s="129" t="s">
        <v>15</v>
      </c>
      <c r="J52" s="134">
        <f>J$51</f>
        <v>0</v>
      </c>
      <c r="K52" s="131">
        <f t="shared" si="23"/>
        <v>0</v>
      </c>
      <c r="L52" s="132"/>
      <c r="M52" s="153"/>
      <c r="N52" s="145"/>
    </row>
    <row r="53" spans="1:14" s="1" customFormat="1" ht="16.5" thickBot="1" x14ac:dyDescent="0.25">
      <c r="A53" s="111" t="str">
        <f>IF(F53&lt;&gt;"",1+MAX($A$7:A52),"")</f>
        <v/>
      </c>
      <c r="B53" s="45"/>
      <c r="C53" s="2"/>
      <c r="D53" s="41"/>
      <c r="F53" s="46"/>
      <c r="G53" s="47"/>
      <c r="H53" s="46"/>
      <c r="I53" s="48"/>
      <c r="J53" s="74"/>
      <c r="K53" s="66"/>
      <c r="L53" s="58"/>
      <c r="M53" s="151"/>
    </row>
    <row r="54" spans="1:14" s="1" customFormat="1" ht="16.5" thickBot="1" x14ac:dyDescent="0.25">
      <c r="A54" s="111" t="str">
        <f>IF(F54&lt;&gt;"",1+MAX($A$7:A53),"")</f>
        <v/>
      </c>
      <c r="B54" s="2"/>
      <c r="C54" s="2"/>
      <c r="D54" s="41"/>
      <c r="E54" s="55" t="s">
        <v>92</v>
      </c>
      <c r="F54" s="31"/>
      <c r="G54" s="25"/>
      <c r="H54" s="4"/>
      <c r="I54" s="26"/>
      <c r="J54" s="75"/>
      <c r="K54" s="69"/>
      <c r="L54" s="59">
        <f>SUM(K50:K53)</f>
        <v>0</v>
      </c>
      <c r="M54" s="151"/>
    </row>
    <row r="55" spans="1:14" s="143" customFormat="1" ht="19.5" thickBot="1" x14ac:dyDescent="0.25">
      <c r="A55" s="111" t="str">
        <f>IF(F55&lt;&gt;"",1+MAX($A$7:A54),"")</f>
        <v/>
      </c>
      <c r="B55" s="122"/>
      <c r="C55" s="123"/>
      <c r="D55" s="146"/>
      <c r="E55" s="138"/>
      <c r="F55" s="139"/>
      <c r="G55" s="127"/>
      <c r="H55" s="140"/>
      <c r="I55" s="141"/>
      <c r="J55" s="134"/>
      <c r="K55" s="142"/>
      <c r="L55" s="132"/>
      <c r="M55" s="154"/>
      <c r="N55" s="147"/>
    </row>
    <row r="56" spans="1:14" s="13" customFormat="1" ht="16.5" thickBot="1" x14ac:dyDescent="0.25">
      <c r="A56" s="111" t="str">
        <f>IF(F56&lt;&gt;"",1+MAX($A$7:A55),"")</f>
        <v/>
      </c>
      <c r="B56" s="61"/>
      <c r="C56" s="27"/>
      <c r="D56" s="27" t="s">
        <v>83</v>
      </c>
      <c r="E56" s="51" t="s">
        <v>84</v>
      </c>
      <c r="F56" s="30"/>
      <c r="G56" s="24"/>
      <c r="H56" s="24"/>
      <c r="I56" s="24"/>
      <c r="J56" s="71"/>
      <c r="K56" s="64"/>
      <c r="L56" s="21"/>
      <c r="M56" s="156"/>
    </row>
    <row r="57" spans="1:14" s="1" customFormat="1" ht="16.5" thickBot="1" x14ac:dyDescent="0.25">
      <c r="A57" s="111" t="str">
        <f>IF(F57&lt;&gt;"",1+MAX($A$7:A56),"")</f>
        <v/>
      </c>
      <c r="B57" s="32"/>
      <c r="C57" s="219"/>
      <c r="D57" s="220"/>
      <c r="E57" s="221" t="s">
        <v>95</v>
      </c>
      <c r="F57" s="222"/>
      <c r="G57" s="223"/>
      <c r="H57" s="224"/>
      <c r="I57" s="225"/>
      <c r="J57" s="228"/>
      <c r="K57" s="229"/>
      <c r="L57" s="21"/>
      <c r="M57" s="151"/>
    </row>
    <row r="58" spans="1:14" s="133" customFormat="1" ht="63" x14ac:dyDescent="0.2">
      <c r="A58" s="111">
        <f>IF(F58&lt;&gt;"",1+MAX($A$7:A57),"")</f>
        <v>15</v>
      </c>
      <c r="B58" s="122" t="s">
        <v>180</v>
      </c>
      <c r="C58" s="123" t="s">
        <v>179</v>
      </c>
      <c r="D58" s="144"/>
      <c r="E58" s="125" t="s">
        <v>182</v>
      </c>
      <c r="F58" s="126">
        <f>3133.1+16.3*0.5</f>
        <v>3141.25</v>
      </c>
      <c r="G58" s="127">
        <v>0.1</v>
      </c>
      <c r="H58" s="128">
        <f t="shared" ref="H58:H59" si="24">F58*(1+G58)</f>
        <v>3455.3750000000005</v>
      </c>
      <c r="I58" s="129" t="s">
        <v>18</v>
      </c>
      <c r="J58" s="130">
        <v>0</v>
      </c>
      <c r="K58" s="131">
        <f t="shared" ref="K58:K59" si="25">J58*H58</f>
        <v>0</v>
      </c>
      <c r="L58" s="132"/>
      <c r="M58" s="153"/>
      <c r="N58" s="145"/>
    </row>
    <row r="59" spans="1:14" s="133" customFormat="1" ht="47.25" x14ac:dyDescent="0.2">
      <c r="A59" s="111">
        <f>IF(F59&lt;&gt;"",1+MAX($A$7:A58),"")</f>
        <v>16</v>
      </c>
      <c r="B59" s="122" t="s">
        <v>180</v>
      </c>
      <c r="C59" s="123" t="s">
        <v>181</v>
      </c>
      <c r="D59" s="144"/>
      <c r="E59" s="125" t="s">
        <v>183</v>
      </c>
      <c r="F59" s="126">
        <v>18001.3</v>
      </c>
      <c r="G59" s="127">
        <v>0.1</v>
      </c>
      <c r="H59" s="128">
        <f t="shared" si="24"/>
        <v>19801.43</v>
      </c>
      <c r="I59" s="129" t="s">
        <v>18</v>
      </c>
      <c r="J59" s="130">
        <v>0</v>
      </c>
      <c r="K59" s="131">
        <f t="shared" si="25"/>
        <v>0</v>
      </c>
      <c r="L59" s="132"/>
      <c r="M59" s="153"/>
      <c r="N59" s="145"/>
    </row>
    <row r="60" spans="1:14" s="133" customFormat="1" ht="31.5" x14ac:dyDescent="0.2">
      <c r="A60" s="111">
        <f>IF(F60&lt;&gt;"",1+MAX($A$7:A59),"")</f>
        <v>17</v>
      </c>
      <c r="B60" s="122" t="s">
        <v>180</v>
      </c>
      <c r="C60" s="123" t="s">
        <v>185</v>
      </c>
      <c r="D60" s="144"/>
      <c r="E60" s="125" t="s">
        <v>184</v>
      </c>
      <c r="F60" s="126">
        <f>86.7*0.67+23.8*1.5+153.9*1.67+58.7*2*2+79.4*3.83+27.5*3.83*2+958.1*4.83+150.4*4.5+105.9*4.67+126.3*5.25</f>
        <v>7562.4050000000007</v>
      </c>
      <c r="G60" s="127">
        <v>0.1</v>
      </c>
      <c r="H60" s="128">
        <f t="shared" ref="H60" si="26">F60*(1+G60)</f>
        <v>8318.6455000000005</v>
      </c>
      <c r="I60" s="129" t="s">
        <v>18</v>
      </c>
      <c r="J60" s="130">
        <v>0</v>
      </c>
      <c r="K60" s="131">
        <f t="shared" ref="K60" si="27">J60*H60</f>
        <v>0</v>
      </c>
      <c r="L60" s="132"/>
      <c r="M60" s="153"/>
      <c r="N60" s="145"/>
    </row>
    <row r="61" spans="1:14" s="1" customFormat="1" ht="16.5" thickBot="1" x14ac:dyDescent="0.25">
      <c r="A61" s="111" t="str">
        <f>IF(F61&lt;&gt;"",1+MAX($A$7:A60),"")</f>
        <v/>
      </c>
      <c r="B61" s="45"/>
      <c r="C61" s="2"/>
      <c r="D61" s="41"/>
      <c r="F61" s="46"/>
      <c r="G61" s="47"/>
      <c r="H61" s="46"/>
      <c r="I61" s="48"/>
      <c r="J61" s="74"/>
      <c r="K61" s="66"/>
      <c r="L61" s="58"/>
      <c r="M61" s="151"/>
    </row>
    <row r="62" spans="1:14" s="1" customFormat="1" ht="16.5" thickBot="1" x14ac:dyDescent="0.25">
      <c r="A62" s="111" t="str">
        <f>IF(F62&lt;&gt;"",1+MAX($A$7:A61),"")</f>
        <v/>
      </c>
      <c r="B62" s="2"/>
      <c r="C62" s="2"/>
      <c r="D62" s="41"/>
      <c r="E62" s="55" t="s">
        <v>178</v>
      </c>
      <c r="F62" s="31"/>
      <c r="G62" s="25"/>
      <c r="H62" s="4"/>
      <c r="I62" s="26"/>
      <c r="J62" s="75"/>
      <c r="K62" s="69"/>
      <c r="L62" s="59">
        <f>SUM(K57:K61)</f>
        <v>0</v>
      </c>
      <c r="M62" s="151"/>
    </row>
    <row r="63" spans="1:14" s="143" customFormat="1" ht="19.5" thickBot="1" x14ac:dyDescent="0.25">
      <c r="A63" s="111" t="str">
        <f>IF(F63&lt;&gt;"",1+MAX($A$7:A62),"")</f>
        <v/>
      </c>
      <c r="B63" s="122"/>
      <c r="C63" s="123"/>
      <c r="D63" s="146"/>
      <c r="E63" s="138"/>
      <c r="F63" s="139"/>
      <c r="G63" s="127"/>
      <c r="H63" s="140"/>
      <c r="I63" s="141"/>
      <c r="J63" s="261"/>
      <c r="K63" s="262"/>
      <c r="L63" s="132"/>
      <c r="M63" s="154"/>
      <c r="N63" s="147"/>
    </row>
    <row r="64" spans="1:14" s="1" customFormat="1" ht="16.5" thickBot="1" x14ac:dyDescent="0.25">
      <c r="A64" s="111" t="str">
        <f>IF(F64&lt;&gt;"",1+MAX($A$7:A63),"")</f>
        <v/>
      </c>
      <c r="B64" s="32"/>
      <c r="C64" s="219"/>
      <c r="D64" s="220"/>
      <c r="E64" s="221" t="s">
        <v>186</v>
      </c>
      <c r="F64" s="222"/>
      <c r="G64" s="223"/>
      <c r="H64" s="224"/>
      <c r="I64" s="225"/>
      <c r="J64" s="241"/>
      <c r="K64" s="242"/>
      <c r="L64" s="21"/>
      <c r="M64" s="151"/>
    </row>
    <row r="65" spans="1:14" s="133" customFormat="1" ht="18.75" x14ac:dyDescent="0.2">
      <c r="A65" s="111">
        <f>IF(F65&lt;&gt;"",1+MAX($A$7:A64),"")</f>
        <v>18</v>
      </c>
      <c r="B65" s="122" t="s">
        <v>189</v>
      </c>
      <c r="C65" s="123" t="s">
        <v>167</v>
      </c>
      <c r="D65" s="144"/>
      <c r="E65" s="125" t="s">
        <v>187</v>
      </c>
      <c r="F65" s="126">
        <f>275.3+82.5</f>
        <v>357.8</v>
      </c>
      <c r="G65" s="127">
        <v>0.1</v>
      </c>
      <c r="H65" s="128">
        <f t="shared" ref="H65" si="28">F65*(1+G65)</f>
        <v>393.58000000000004</v>
      </c>
      <c r="I65" s="129" t="s">
        <v>18</v>
      </c>
      <c r="J65" s="130">
        <v>0</v>
      </c>
      <c r="K65" s="131">
        <f t="shared" ref="K65" si="29">J65*H65</f>
        <v>0</v>
      </c>
      <c r="L65" s="132"/>
      <c r="M65" s="153"/>
      <c r="N65" s="145"/>
    </row>
    <row r="66" spans="1:14" s="1" customFormat="1" ht="16.5" thickBot="1" x14ac:dyDescent="0.25">
      <c r="A66" s="111" t="str">
        <f>IF(F66&lt;&gt;"",1+MAX($A$7:A65),"")</f>
        <v/>
      </c>
      <c r="B66" s="45"/>
      <c r="C66" s="2"/>
      <c r="D66" s="41"/>
      <c r="F66" s="46"/>
      <c r="G66" s="47"/>
      <c r="H66" s="46"/>
      <c r="I66" s="48"/>
      <c r="J66" s="74"/>
      <c r="K66" s="66"/>
      <c r="L66" s="58"/>
      <c r="M66" s="151"/>
    </row>
    <row r="67" spans="1:14" s="1" customFormat="1" ht="16.5" thickBot="1" x14ac:dyDescent="0.25">
      <c r="A67" s="111" t="str">
        <f>IF(F67&lt;&gt;"",1+MAX($A$7:A66),"")</f>
        <v/>
      </c>
      <c r="B67" s="2"/>
      <c r="C67" s="2"/>
      <c r="D67" s="41"/>
      <c r="E67" s="55" t="s">
        <v>188</v>
      </c>
      <c r="F67" s="31"/>
      <c r="G67" s="25"/>
      <c r="H67" s="4"/>
      <c r="I67" s="26"/>
      <c r="J67" s="75"/>
      <c r="K67" s="69"/>
      <c r="L67" s="59">
        <f>SUM(K64:K66)</f>
        <v>0</v>
      </c>
      <c r="M67" s="151"/>
    </row>
    <row r="68" spans="1:14" s="143" customFormat="1" ht="19.5" thickBot="1" x14ac:dyDescent="0.25">
      <c r="A68" s="111" t="str">
        <f>IF(F68&lt;&gt;"",1+MAX($A$7:A67),"")</f>
        <v/>
      </c>
      <c r="B68" s="122"/>
      <c r="C68" s="123"/>
      <c r="D68" s="146"/>
      <c r="E68" s="138"/>
      <c r="F68" s="139"/>
      <c r="G68" s="127"/>
      <c r="H68" s="140"/>
      <c r="I68" s="141"/>
      <c r="J68" s="261"/>
      <c r="K68" s="262"/>
      <c r="L68" s="132"/>
      <c r="M68" s="154"/>
      <c r="N68" s="147"/>
    </row>
    <row r="69" spans="1:14" s="1" customFormat="1" ht="16.5" thickBot="1" x14ac:dyDescent="0.25">
      <c r="A69" s="111" t="str">
        <f>IF(F69&lt;&gt;"",1+MAX($A$7:A68),"")</f>
        <v/>
      </c>
      <c r="B69" s="32"/>
      <c r="C69" s="219"/>
      <c r="D69" s="220"/>
      <c r="E69" s="221" t="s">
        <v>96</v>
      </c>
      <c r="F69" s="222"/>
      <c r="G69" s="223"/>
      <c r="H69" s="224"/>
      <c r="I69" s="225"/>
      <c r="J69" s="241"/>
      <c r="K69" s="242"/>
      <c r="L69" s="21"/>
      <c r="M69" s="151"/>
    </row>
    <row r="70" spans="1:14" s="133" customFormat="1" ht="31.5" x14ac:dyDescent="0.2">
      <c r="A70" s="111">
        <f>IF(F70&lt;&gt;"",1+MAX($A$7:A69),"")</f>
        <v>19</v>
      </c>
      <c r="B70" s="122" t="s">
        <v>180</v>
      </c>
      <c r="C70" s="123" t="s">
        <v>192</v>
      </c>
      <c r="D70" s="144"/>
      <c r="E70" s="125" t="s">
        <v>191</v>
      </c>
      <c r="F70" s="126">
        <v>84.3</v>
      </c>
      <c r="G70" s="127">
        <v>0.1</v>
      </c>
      <c r="H70" s="128">
        <f t="shared" ref="H70:H80" si="30">F70*(1+G70)</f>
        <v>92.73</v>
      </c>
      <c r="I70" s="129" t="s">
        <v>15</v>
      </c>
      <c r="J70" s="130">
        <v>0</v>
      </c>
      <c r="K70" s="131">
        <f t="shared" ref="K70:K80" si="31">J70*H70</f>
        <v>0</v>
      </c>
      <c r="L70" s="132"/>
      <c r="M70" s="153"/>
      <c r="N70" s="145"/>
    </row>
    <row r="71" spans="1:14" s="133" customFormat="1" ht="31.5" x14ac:dyDescent="0.2">
      <c r="A71" s="111">
        <f>IF(F71&lt;&gt;"",1+MAX($A$7:A70),"")</f>
        <v>20</v>
      </c>
      <c r="B71" s="122" t="s">
        <v>180</v>
      </c>
      <c r="C71" s="123" t="s">
        <v>192</v>
      </c>
      <c r="D71" s="144"/>
      <c r="E71" s="125" t="s">
        <v>222</v>
      </c>
      <c r="F71" s="126">
        <v>52</v>
      </c>
      <c r="G71" s="127">
        <v>0.1</v>
      </c>
      <c r="H71" s="128">
        <f t="shared" si="30"/>
        <v>57.2</v>
      </c>
      <c r="I71" s="129" t="s">
        <v>15</v>
      </c>
      <c r="J71" s="130">
        <v>0</v>
      </c>
      <c r="K71" s="131">
        <f t="shared" si="31"/>
        <v>0</v>
      </c>
      <c r="L71" s="132"/>
      <c r="M71" s="153"/>
      <c r="N71" s="145"/>
    </row>
    <row r="72" spans="1:14" s="133" customFormat="1" ht="31.5" x14ac:dyDescent="0.2">
      <c r="A72" s="111">
        <f>IF(F72&lt;&gt;"",1+MAX($A$7:A71),"")</f>
        <v>21</v>
      </c>
      <c r="B72" s="122" t="s">
        <v>180</v>
      </c>
      <c r="C72" s="123" t="s">
        <v>192</v>
      </c>
      <c r="D72" s="144"/>
      <c r="E72" s="125" t="s">
        <v>194</v>
      </c>
      <c r="F72" s="126">
        <v>1770.25</v>
      </c>
      <c r="G72" s="127">
        <v>0.1</v>
      </c>
      <c r="H72" s="128">
        <f t="shared" si="30"/>
        <v>1947.2750000000001</v>
      </c>
      <c r="I72" s="129" t="s">
        <v>15</v>
      </c>
      <c r="J72" s="130">
        <v>0</v>
      </c>
      <c r="K72" s="131">
        <f t="shared" si="31"/>
        <v>0</v>
      </c>
      <c r="L72" s="132"/>
      <c r="M72" s="153"/>
      <c r="N72" s="145"/>
    </row>
    <row r="73" spans="1:14" s="133" customFormat="1" ht="31.5" x14ac:dyDescent="0.2">
      <c r="A73" s="111">
        <f>IF(F73&lt;&gt;"",1+MAX($A$7:A72),"")</f>
        <v>22</v>
      </c>
      <c r="B73" s="122" t="s">
        <v>180</v>
      </c>
      <c r="C73" s="123" t="s">
        <v>192</v>
      </c>
      <c r="D73" s="144"/>
      <c r="E73" s="125" t="s">
        <v>195</v>
      </c>
      <c r="F73" s="126">
        <v>35.4</v>
      </c>
      <c r="G73" s="127">
        <v>0.1</v>
      </c>
      <c r="H73" s="128">
        <f t="shared" ref="H73" si="32">F73*(1+G73)</f>
        <v>38.940000000000005</v>
      </c>
      <c r="I73" s="129" t="s">
        <v>15</v>
      </c>
      <c r="J73" s="130">
        <v>0</v>
      </c>
      <c r="K73" s="131">
        <f t="shared" ref="K73" si="33">J73*H73</f>
        <v>0</v>
      </c>
      <c r="L73" s="132"/>
      <c r="M73" s="153"/>
      <c r="N73" s="145"/>
    </row>
    <row r="74" spans="1:14" s="133" customFormat="1" ht="31.5" x14ac:dyDescent="0.2">
      <c r="A74" s="111">
        <f>IF(F74&lt;&gt;"",1+MAX($A$7:A73),"")</f>
        <v>23</v>
      </c>
      <c r="B74" s="122" t="s">
        <v>180</v>
      </c>
      <c r="C74" s="123" t="s">
        <v>192</v>
      </c>
      <c r="D74" s="144"/>
      <c r="E74" s="125" t="s">
        <v>221</v>
      </c>
      <c r="F74" s="126">
        <v>52</v>
      </c>
      <c r="G74" s="127">
        <v>0.1</v>
      </c>
      <c r="H74" s="128">
        <f t="shared" si="30"/>
        <v>57.2</v>
      </c>
      <c r="I74" s="129" t="s">
        <v>15</v>
      </c>
      <c r="J74" s="130">
        <v>0</v>
      </c>
      <c r="K74" s="131">
        <f t="shared" si="31"/>
        <v>0</v>
      </c>
      <c r="L74" s="132"/>
      <c r="M74" s="153"/>
      <c r="N74" s="145"/>
    </row>
    <row r="75" spans="1:14" s="133" customFormat="1" ht="31.5" x14ac:dyDescent="0.2">
      <c r="A75" s="111">
        <f>IF(F75&lt;&gt;"",1+MAX($A$7:A74),"")</f>
        <v>24</v>
      </c>
      <c r="B75" s="122" t="s">
        <v>180</v>
      </c>
      <c r="C75" s="123" t="s">
        <v>192</v>
      </c>
      <c r="D75" s="144"/>
      <c r="E75" s="125" t="s">
        <v>196</v>
      </c>
      <c r="F75" s="126">
        <v>137.9</v>
      </c>
      <c r="G75" s="127">
        <v>0.1</v>
      </c>
      <c r="H75" s="128">
        <f t="shared" ref="H75:H78" si="34">F75*(1+G75)</f>
        <v>151.69000000000003</v>
      </c>
      <c r="I75" s="129" t="s">
        <v>15</v>
      </c>
      <c r="J75" s="130">
        <v>0</v>
      </c>
      <c r="K75" s="131">
        <f t="shared" ref="K75:K78" si="35">J75*H75</f>
        <v>0</v>
      </c>
      <c r="L75" s="132"/>
      <c r="M75" s="153"/>
      <c r="N75" s="145"/>
    </row>
    <row r="76" spans="1:14" s="133" customFormat="1" ht="31.5" x14ac:dyDescent="0.2">
      <c r="A76" s="111">
        <f>IF(F76&lt;&gt;"",1+MAX($A$7:A75),"")</f>
        <v>25</v>
      </c>
      <c r="B76" s="122" t="s">
        <v>180</v>
      </c>
      <c r="C76" s="123" t="s">
        <v>192</v>
      </c>
      <c r="D76" s="144"/>
      <c r="E76" s="125" t="s">
        <v>193</v>
      </c>
      <c r="F76" s="126">
        <v>1770.25</v>
      </c>
      <c r="G76" s="127">
        <v>0.1</v>
      </c>
      <c r="H76" s="128">
        <f t="shared" ref="H76:H77" si="36">F76*(1+G76)</f>
        <v>1947.2750000000001</v>
      </c>
      <c r="I76" s="129" t="s">
        <v>15</v>
      </c>
      <c r="J76" s="130">
        <v>0</v>
      </c>
      <c r="K76" s="131">
        <f t="shared" ref="K76:K77" si="37">J76*H76</f>
        <v>0</v>
      </c>
      <c r="L76" s="132"/>
      <c r="M76" s="153"/>
      <c r="N76" s="145"/>
    </row>
    <row r="77" spans="1:14" s="133" customFormat="1" ht="31.5" x14ac:dyDescent="0.2">
      <c r="A77" s="111">
        <f>IF(F77&lt;&gt;"",1+MAX($A$7:A76),"")</f>
        <v>26</v>
      </c>
      <c r="B77" s="122" t="s">
        <v>180</v>
      </c>
      <c r="C77" s="123" t="s">
        <v>192</v>
      </c>
      <c r="D77" s="144"/>
      <c r="E77" s="125" t="s">
        <v>223</v>
      </c>
      <c r="F77" s="126">
        <v>1770.25</v>
      </c>
      <c r="G77" s="127">
        <v>0.1</v>
      </c>
      <c r="H77" s="128">
        <f t="shared" si="36"/>
        <v>1947.2750000000001</v>
      </c>
      <c r="I77" s="129" t="s">
        <v>15</v>
      </c>
      <c r="J77" s="130">
        <v>0</v>
      </c>
      <c r="K77" s="131">
        <f t="shared" si="37"/>
        <v>0</v>
      </c>
      <c r="L77" s="132"/>
      <c r="M77" s="153"/>
      <c r="N77" s="145"/>
    </row>
    <row r="78" spans="1:14" s="133" customFormat="1" ht="31.5" x14ac:dyDescent="0.2">
      <c r="A78" s="111">
        <f>IF(F78&lt;&gt;"",1+MAX($A$7:A77),"")</f>
        <v>27</v>
      </c>
      <c r="B78" s="122" t="s">
        <v>180</v>
      </c>
      <c r="C78" s="123" t="s">
        <v>192</v>
      </c>
      <c r="D78" s="144"/>
      <c r="E78" s="125" t="s">
        <v>224</v>
      </c>
      <c r="F78" s="126">
        <v>1770.25</v>
      </c>
      <c r="G78" s="127">
        <v>0.1</v>
      </c>
      <c r="H78" s="128">
        <f t="shared" si="34"/>
        <v>1947.2750000000001</v>
      </c>
      <c r="I78" s="129" t="s">
        <v>15</v>
      </c>
      <c r="J78" s="130">
        <v>0</v>
      </c>
      <c r="K78" s="131">
        <f t="shared" si="35"/>
        <v>0</v>
      </c>
      <c r="L78" s="132"/>
      <c r="M78" s="153"/>
      <c r="N78" s="145"/>
    </row>
    <row r="79" spans="1:14" s="133" customFormat="1" ht="31.5" x14ac:dyDescent="0.2">
      <c r="A79" s="111">
        <f>IF(F79&lt;&gt;"",1+MAX($A$7:A78),"")</f>
        <v>28</v>
      </c>
      <c r="B79" s="122" t="s">
        <v>180</v>
      </c>
      <c r="C79" s="123" t="s">
        <v>192</v>
      </c>
      <c r="D79" s="144"/>
      <c r="E79" s="125" t="s">
        <v>219</v>
      </c>
      <c r="F79" s="126">
        <f>2*11.5+1*7.5</f>
        <v>30.5</v>
      </c>
      <c r="G79" s="127">
        <v>0.1</v>
      </c>
      <c r="H79" s="128">
        <f t="shared" si="30"/>
        <v>33.550000000000004</v>
      </c>
      <c r="I79" s="129" t="s">
        <v>15</v>
      </c>
      <c r="J79" s="130">
        <v>0</v>
      </c>
      <c r="K79" s="131">
        <f t="shared" si="31"/>
        <v>0</v>
      </c>
      <c r="L79" s="132"/>
      <c r="M79" s="153"/>
      <c r="N79" s="145"/>
    </row>
    <row r="80" spans="1:14" s="133" customFormat="1" ht="31.5" x14ac:dyDescent="0.2">
      <c r="A80" s="111">
        <f>IF(F80&lt;&gt;"",1+MAX($A$7:A79),"")</f>
        <v>29</v>
      </c>
      <c r="B80" s="122" t="s">
        <v>180</v>
      </c>
      <c r="C80" s="123" t="s">
        <v>192</v>
      </c>
      <c r="D80" s="144"/>
      <c r="E80" s="125" t="s">
        <v>220</v>
      </c>
      <c r="F80" s="126">
        <v>7</v>
      </c>
      <c r="G80" s="127">
        <v>0</v>
      </c>
      <c r="H80" s="128">
        <f t="shared" si="30"/>
        <v>7</v>
      </c>
      <c r="I80" s="129" t="s">
        <v>20</v>
      </c>
      <c r="J80" s="130">
        <v>0</v>
      </c>
      <c r="K80" s="131">
        <f t="shared" si="31"/>
        <v>0</v>
      </c>
      <c r="L80" s="132"/>
      <c r="M80" s="153"/>
      <c r="N80" s="145"/>
    </row>
    <row r="81" spans="1:17" s="133" customFormat="1" ht="31.5" x14ac:dyDescent="0.2">
      <c r="A81" s="111">
        <f>IF(F81&lt;&gt;"",1+MAX($A$7:A80),"")</f>
        <v>30</v>
      </c>
      <c r="B81" s="122" t="s">
        <v>180</v>
      </c>
      <c r="C81" s="123" t="s">
        <v>192</v>
      </c>
      <c r="D81" s="144"/>
      <c r="E81" s="125" t="s">
        <v>190</v>
      </c>
      <c r="F81" s="126">
        <v>32</v>
      </c>
      <c r="G81" s="127">
        <v>0</v>
      </c>
      <c r="H81" s="128">
        <f t="shared" ref="H81" si="38">F81*(1+G81)</f>
        <v>32</v>
      </c>
      <c r="I81" s="129" t="s">
        <v>20</v>
      </c>
      <c r="J81" s="479">
        <f>J$80</f>
        <v>0</v>
      </c>
      <c r="K81" s="131">
        <f t="shared" ref="K81" si="39">J81*H81</f>
        <v>0</v>
      </c>
      <c r="L81" s="132"/>
      <c r="M81" s="153"/>
      <c r="N81" s="145"/>
    </row>
    <row r="82" spans="1:17" s="1" customFormat="1" ht="16.5" thickBot="1" x14ac:dyDescent="0.25">
      <c r="A82" s="111" t="str">
        <f>IF(F82&lt;&gt;"",1+MAX($A$7:A81),"")</f>
        <v/>
      </c>
      <c r="B82" s="45"/>
      <c r="C82" s="2"/>
      <c r="D82" s="41"/>
      <c r="F82" s="46"/>
      <c r="G82" s="47"/>
      <c r="H82" s="46"/>
      <c r="I82" s="48"/>
      <c r="J82" s="74"/>
      <c r="K82" s="66"/>
      <c r="L82" s="58"/>
      <c r="M82" s="151"/>
    </row>
    <row r="83" spans="1:17" s="1" customFormat="1" ht="16.5" thickBot="1" x14ac:dyDescent="0.25">
      <c r="A83" s="111" t="str">
        <f>IF(F83&lt;&gt;"",1+MAX($A$7:A82),"")</f>
        <v/>
      </c>
      <c r="B83" s="2"/>
      <c r="C83" s="2"/>
      <c r="D83" s="41"/>
      <c r="E83" s="55" t="s">
        <v>97</v>
      </c>
      <c r="F83" s="31"/>
      <c r="G83" s="25"/>
      <c r="H83" s="4"/>
      <c r="I83" s="26"/>
      <c r="J83" s="75"/>
      <c r="K83" s="69"/>
      <c r="L83" s="59">
        <f>SUM(K69:K82)</f>
        <v>0</v>
      </c>
      <c r="M83" s="151"/>
    </row>
    <row r="84" spans="1:17" s="143" customFormat="1" ht="19.5" thickBot="1" x14ac:dyDescent="0.25">
      <c r="A84" s="111" t="str">
        <f>IF(F84&lt;&gt;"",1+MAX($A$7:A83),"")</f>
        <v/>
      </c>
      <c r="B84" s="122"/>
      <c r="C84" s="123"/>
      <c r="D84" s="146"/>
      <c r="E84" s="138"/>
      <c r="F84" s="139"/>
      <c r="G84" s="127"/>
      <c r="H84" s="140"/>
      <c r="I84" s="141"/>
      <c r="J84" s="134"/>
      <c r="K84" s="142"/>
      <c r="L84" s="480"/>
      <c r="M84" s="486"/>
      <c r="N84" s="487"/>
      <c r="O84" s="488"/>
      <c r="P84" s="488"/>
      <c r="Q84" s="488"/>
    </row>
    <row r="85" spans="1:17" s="1" customFormat="1" ht="16.5" thickBot="1" x14ac:dyDescent="0.25">
      <c r="A85" s="111" t="str">
        <f>IF(F85&lt;&gt;"",1+MAX($A$7:A84),"")</f>
        <v/>
      </c>
      <c r="B85" s="32"/>
      <c r="C85" s="219"/>
      <c r="D85" s="220"/>
      <c r="E85" s="221" t="s">
        <v>176</v>
      </c>
      <c r="F85" s="222"/>
      <c r="G85" s="223"/>
      <c r="H85" s="224"/>
      <c r="I85" s="225"/>
      <c r="J85" s="241"/>
      <c r="K85" s="242"/>
      <c r="L85" s="481"/>
      <c r="M85" s="151"/>
    </row>
    <row r="86" spans="1:17" s="133" customFormat="1" ht="31.5" x14ac:dyDescent="0.2">
      <c r="A86" s="111">
        <f>IF(F86&lt;&gt;"",1+MAX($A$7:A85),"")</f>
        <v>31</v>
      </c>
      <c r="B86" s="2" t="s">
        <v>173</v>
      </c>
      <c r="C86" s="123" t="s">
        <v>172</v>
      </c>
      <c r="D86" s="124"/>
      <c r="E86" s="138" t="s">
        <v>177</v>
      </c>
      <c r="F86" s="126">
        <f>10246.9+31.9*0.75+33.8*1.167+40.4*1.25+80.2*1.58+9.1*1.67+57.3*1.75+30.3*2.1+16.1*23.83+19.9*2.42+8*2.67+9.1*3+9*5.58+27725.3</f>
        <v>38922.588599999995</v>
      </c>
      <c r="G86" s="127">
        <v>0.1</v>
      </c>
      <c r="H86" s="128">
        <f t="shared" ref="H86:H87" si="40">F86*(1+G86)</f>
        <v>42814.847459999997</v>
      </c>
      <c r="I86" s="129" t="s">
        <v>18</v>
      </c>
      <c r="J86" s="130">
        <v>0</v>
      </c>
      <c r="K86" s="131">
        <f t="shared" ref="K86:K87" si="41">J86*H86</f>
        <v>0</v>
      </c>
      <c r="L86" s="480"/>
      <c r="M86" s="489"/>
      <c r="N86" s="490"/>
      <c r="O86" s="491"/>
      <c r="P86" s="491"/>
      <c r="Q86" s="491"/>
    </row>
    <row r="87" spans="1:17" s="133" customFormat="1" ht="18.75" x14ac:dyDescent="0.2">
      <c r="A87" s="111">
        <f>IF(F87&lt;&gt;"",1+MAX($A$7:A86),"")</f>
        <v>32</v>
      </c>
      <c r="B87" s="2" t="s">
        <v>964</v>
      </c>
      <c r="C87" s="123" t="s">
        <v>963</v>
      </c>
      <c r="D87" s="124"/>
      <c r="E87" s="138" t="s">
        <v>962</v>
      </c>
      <c r="F87" s="126">
        <f>26.3*8</f>
        <v>210.4</v>
      </c>
      <c r="G87" s="127">
        <v>0.1</v>
      </c>
      <c r="H87" s="128">
        <f t="shared" si="40"/>
        <v>231.44000000000003</v>
      </c>
      <c r="I87" s="129" t="s">
        <v>18</v>
      </c>
      <c r="J87" s="134">
        <f>J$86</f>
        <v>0</v>
      </c>
      <c r="K87" s="131">
        <f t="shared" si="41"/>
        <v>0</v>
      </c>
      <c r="L87" s="480"/>
      <c r="M87" s="489"/>
      <c r="N87" s="490"/>
      <c r="O87" s="491"/>
      <c r="P87" s="491"/>
      <c r="Q87" s="491"/>
    </row>
    <row r="88" spans="1:17" s="1" customFormat="1" ht="16.5" thickBot="1" x14ac:dyDescent="0.25">
      <c r="A88" s="111" t="str">
        <f>IF(F88&lt;&gt;"",1+MAX($A$7:A87),"")</f>
        <v/>
      </c>
      <c r="B88" s="45"/>
      <c r="C88" s="2"/>
      <c r="D88" s="41"/>
      <c r="F88" s="46"/>
      <c r="G88" s="47"/>
      <c r="H88" s="46"/>
      <c r="I88" s="48"/>
      <c r="J88" s="74"/>
      <c r="K88" s="66"/>
      <c r="L88" s="482"/>
      <c r="M88" s="151"/>
    </row>
    <row r="89" spans="1:17" s="1" customFormat="1" ht="16.5" thickBot="1" x14ac:dyDescent="0.25">
      <c r="A89" s="111" t="str">
        <f>IF(F89&lt;&gt;"",1+MAX($A$7:A88),"")</f>
        <v/>
      </c>
      <c r="B89" s="2"/>
      <c r="C89" s="2"/>
      <c r="D89" s="41"/>
      <c r="E89" s="55" t="s">
        <v>961</v>
      </c>
      <c r="F89" s="31"/>
      <c r="G89" s="25"/>
      <c r="H89" s="4"/>
      <c r="I89" s="26"/>
      <c r="J89" s="75"/>
      <c r="K89" s="69"/>
      <c r="L89" s="483">
        <f>SUM(K85:K88)</f>
        <v>0</v>
      </c>
      <c r="M89" s="151"/>
    </row>
    <row r="90" spans="1:17" s="143" customFormat="1" ht="19.5" thickBot="1" x14ac:dyDescent="0.25">
      <c r="A90" s="111" t="str">
        <f>IF(F90&lt;&gt;"",1+MAX($A$7:A89),"")</f>
        <v/>
      </c>
      <c r="B90" s="122"/>
      <c r="C90" s="123"/>
      <c r="D90" s="146"/>
      <c r="E90" s="138"/>
      <c r="F90" s="139"/>
      <c r="G90" s="127"/>
      <c r="H90" s="140"/>
      <c r="I90" s="141"/>
      <c r="J90" s="134"/>
      <c r="K90" s="142"/>
      <c r="L90" s="480"/>
      <c r="M90" s="486"/>
      <c r="N90" s="487"/>
      <c r="O90" s="488"/>
      <c r="P90" s="488"/>
      <c r="Q90" s="488"/>
    </row>
    <row r="91" spans="1:17" s="1" customFormat="1" ht="16.5" thickBot="1" x14ac:dyDescent="0.25">
      <c r="A91" s="111" t="str">
        <f>IF(F91&lt;&gt;"",1+MAX($A$7:A90),"")</f>
        <v/>
      </c>
      <c r="B91" s="32"/>
      <c r="C91" s="219"/>
      <c r="D91" s="220"/>
      <c r="E91" s="221" t="s">
        <v>1001</v>
      </c>
      <c r="F91" s="222"/>
      <c r="G91" s="223"/>
      <c r="H91" s="224"/>
      <c r="I91" s="225"/>
      <c r="J91" s="241"/>
      <c r="K91" s="242"/>
      <c r="L91" s="481"/>
      <c r="M91" s="151"/>
    </row>
    <row r="92" spans="1:17" s="133" customFormat="1" ht="31.5" x14ac:dyDescent="0.2">
      <c r="A92" s="111">
        <f>IF(F92&lt;&gt;"",1+MAX($A$7:A91),"")</f>
        <v>33</v>
      </c>
      <c r="B92" s="2" t="s">
        <v>1002</v>
      </c>
      <c r="C92" s="123" t="s">
        <v>1004</v>
      </c>
      <c r="D92" s="124"/>
      <c r="E92" s="138" t="s">
        <v>1005</v>
      </c>
      <c r="F92" s="126">
        <f>46.5*2</f>
        <v>93</v>
      </c>
      <c r="G92" s="127">
        <v>0.1</v>
      </c>
      <c r="H92" s="128">
        <f t="shared" ref="H92" si="42">F92*(1+G92)</f>
        <v>102.30000000000001</v>
      </c>
      <c r="I92" s="129" t="s">
        <v>1015</v>
      </c>
      <c r="J92" s="159">
        <v>0</v>
      </c>
      <c r="K92" s="131">
        <f t="shared" ref="K92" si="43">J92*H92</f>
        <v>0</v>
      </c>
      <c r="L92" s="480"/>
      <c r="M92" s="489"/>
      <c r="N92" s="490"/>
      <c r="O92" s="491"/>
      <c r="P92" s="491"/>
      <c r="Q92" s="491"/>
    </row>
    <row r="93" spans="1:17" s="1" customFormat="1" ht="16.5" thickBot="1" x14ac:dyDescent="0.25">
      <c r="A93" s="111" t="str">
        <f>IF(F93&lt;&gt;"",1+MAX($A$7:A92),"")</f>
        <v/>
      </c>
      <c r="B93" s="45"/>
      <c r="C93" s="2"/>
      <c r="D93" s="41"/>
      <c r="F93" s="46"/>
      <c r="G93" s="47"/>
      <c r="H93" s="46"/>
      <c r="I93" s="48"/>
      <c r="J93" s="74"/>
      <c r="K93" s="66"/>
      <c r="L93" s="482"/>
      <c r="M93" s="151"/>
    </row>
    <row r="94" spans="1:17" s="1" customFormat="1" ht="16.5" thickBot="1" x14ac:dyDescent="0.25">
      <c r="A94" s="111" t="str">
        <f>IF(F94&lt;&gt;"",1+MAX($A$7:A93),"")</f>
        <v/>
      </c>
      <c r="B94" s="2"/>
      <c r="C94" s="2"/>
      <c r="D94" s="41"/>
      <c r="E94" s="55" t="s">
        <v>1003</v>
      </c>
      <c r="F94" s="31"/>
      <c r="G94" s="25"/>
      <c r="H94" s="4"/>
      <c r="I94" s="26"/>
      <c r="J94" s="75"/>
      <c r="K94" s="69"/>
      <c r="L94" s="483">
        <f>SUM(K91:K93)</f>
        <v>0</v>
      </c>
      <c r="M94" s="151"/>
    </row>
    <row r="95" spans="1:17" s="143" customFormat="1" ht="19.5" thickBot="1" x14ac:dyDescent="0.25">
      <c r="A95" s="111" t="str">
        <f>IF(F95&lt;&gt;"",1+MAX($A$7:A94),"")</f>
        <v/>
      </c>
      <c r="B95" s="122"/>
      <c r="C95" s="123"/>
      <c r="D95" s="146"/>
      <c r="E95" s="138"/>
      <c r="F95" s="139"/>
      <c r="G95" s="127"/>
      <c r="H95" s="140"/>
      <c r="I95" s="141"/>
      <c r="J95" s="134"/>
      <c r="K95" s="142"/>
      <c r="L95" s="480"/>
      <c r="M95" s="486"/>
      <c r="N95" s="487"/>
      <c r="O95" s="488"/>
      <c r="P95" s="488"/>
      <c r="Q95" s="488"/>
    </row>
    <row r="96" spans="1:17" s="13" customFormat="1" ht="16.5" thickBot="1" x14ac:dyDescent="0.25">
      <c r="A96" s="111" t="str">
        <f>IF(F96&lt;&gt;"",1+MAX($A$7:A95),"")</f>
        <v/>
      </c>
      <c r="B96" s="61"/>
      <c r="C96" s="27"/>
      <c r="D96" s="27" t="s">
        <v>58</v>
      </c>
      <c r="E96" s="51" t="s">
        <v>59</v>
      </c>
      <c r="F96" s="30"/>
      <c r="G96" s="24"/>
      <c r="H96" s="24"/>
      <c r="I96" s="24"/>
      <c r="J96" s="71"/>
      <c r="K96" s="64"/>
      <c r="L96" s="481"/>
      <c r="M96" s="156"/>
    </row>
    <row r="97" spans="1:17" s="1" customFormat="1" ht="16.5" thickBot="1" x14ac:dyDescent="0.25">
      <c r="A97" s="111" t="str">
        <f>IF(F97&lt;&gt;"",1+MAX($A$7:A96),"")</f>
        <v/>
      </c>
      <c r="B97" s="32"/>
      <c r="C97" s="219"/>
      <c r="D97" s="220"/>
      <c r="E97" s="221" t="s">
        <v>60</v>
      </c>
      <c r="F97" s="222"/>
      <c r="G97" s="237"/>
      <c r="H97" s="238"/>
      <c r="I97" s="239"/>
      <c r="J97" s="228"/>
      <c r="K97" s="229"/>
      <c r="L97" s="481"/>
      <c r="M97" s="151"/>
    </row>
    <row r="98" spans="1:17" s="187" customFormat="1" x14ac:dyDescent="0.2">
      <c r="A98" s="111" t="str">
        <f>IF(F98&lt;&gt;"",1+MAX($A$7:A97),"")</f>
        <v/>
      </c>
      <c r="B98" s="207"/>
      <c r="C98" s="32"/>
      <c r="D98" s="201"/>
      <c r="E98" s="208" t="s">
        <v>240</v>
      </c>
      <c r="F98" s="203"/>
      <c r="G98" s="25"/>
      <c r="H98" s="209"/>
      <c r="I98" s="5"/>
      <c r="J98" s="236"/>
      <c r="K98" s="211"/>
      <c r="L98" s="484"/>
    </row>
    <row r="99" spans="1:17" s="133" customFormat="1" ht="63" x14ac:dyDescent="0.2">
      <c r="A99" s="111">
        <f>IF(F99&lt;&gt;"",1+MAX($A$7:A98),"")</f>
        <v>34</v>
      </c>
      <c r="B99" s="122" t="s">
        <v>242</v>
      </c>
      <c r="C99" s="123" t="s">
        <v>243</v>
      </c>
      <c r="D99" s="144"/>
      <c r="E99" s="125" t="s">
        <v>241</v>
      </c>
      <c r="F99" s="126">
        <v>4</v>
      </c>
      <c r="G99" s="233">
        <v>0</v>
      </c>
      <c r="H99" s="234">
        <f t="shared" ref="H99:H100" si="44">F99*(1+G99)</f>
        <v>4</v>
      </c>
      <c r="I99" s="235" t="s">
        <v>20</v>
      </c>
      <c r="J99" s="159">
        <v>0</v>
      </c>
      <c r="K99" s="131">
        <f t="shared" ref="K99:K100" si="45">J99*H99</f>
        <v>0</v>
      </c>
      <c r="L99" s="480"/>
      <c r="M99" s="492"/>
      <c r="N99" s="493"/>
      <c r="O99" s="491"/>
      <c r="P99" s="491"/>
      <c r="Q99" s="491"/>
    </row>
    <row r="100" spans="1:17" s="133" customFormat="1" ht="63" x14ac:dyDescent="0.2">
      <c r="A100" s="111">
        <f>IF(F100&lt;&gt;"",1+MAX($A$7:A99),"")</f>
        <v>35</v>
      </c>
      <c r="B100" s="122" t="s">
        <v>242</v>
      </c>
      <c r="C100" s="123" t="s">
        <v>243</v>
      </c>
      <c r="D100" s="144"/>
      <c r="E100" s="125" t="s">
        <v>244</v>
      </c>
      <c r="F100" s="126">
        <v>5</v>
      </c>
      <c r="G100" s="127">
        <v>0</v>
      </c>
      <c r="H100" s="128">
        <f t="shared" si="44"/>
        <v>5</v>
      </c>
      <c r="I100" s="129" t="s">
        <v>20</v>
      </c>
      <c r="J100" s="159">
        <v>0</v>
      </c>
      <c r="K100" s="131">
        <f t="shared" si="45"/>
        <v>0</v>
      </c>
      <c r="L100" s="480"/>
      <c r="M100" s="492"/>
      <c r="N100" s="493"/>
      <c r="O100" s="494"/>
      <c r="P100" s="491"/>
      <c r="Q100" s="491"/>
    </row>
    <row r="101" spans="1:17" s="133" customFormat="1" ht="47.25" x14ac:dyDescent="0.2">
      <c r="A101" s="111">
        <f>IF(F101&lt;&gt;"",1+MAX($A$7:A100),"")</f>
        <v>36</v>
      </c>
      <c r="B101" s="122" t="s">
        <v>242</v>
      </c>
      <c r="C101" s="123" t="s">
        <v>243</v>
      </c>
      <c r="D101" s="144"/>
      <c r="E101" s="138" t="s">
        <v>260</v>
      </c>
      <c r="F101" s="139">
        <v>6</v>
      </c>
      <c r="G101" s="233">
        <v>0</v>
      </c>
      <c r="H101" s="234">
        <f>F101*(1+G101)</f>
        <v>6</v>
      </c>
      <c r="I101" s="235" t="s">
        <v>20</v>
      </c>
      <c r="J101" s="159">
        <v>0</v>
      </c>
      <c r="K101" s="131">
        <f>J101*H101</f>
        <v>0</v>
      </c>
      <c r="L101" s="480"/>
      <c r="M101" s="492"/>
      <c r="N101" s="493"/>
      <c r="O101" s="491"/>
      <c r="P101" s="491"/>
      <c r="Q101" s="491"/>
    </row>
    <row r="102" spans="1:17" s="187" customFormat="1" x14ac:dyDescent="0.2">
      <c r="A102" s="111" t="str">
        <f>IF(F102&lt;&gt;"",1+MAX($A$7:A101),"")</f>
        <v/>
      </c>
      <c r="B102" s="207"/>
      <c r="C102" s="32"/>
      <c r="D102" s="201"/>
      <c r="E102" s="208" t="s">
        <v>245</v>
      </c>
      <c r="F102" s="203"/>
      <c r="G102" s="25"/>
      <c r="H102" s="209"/>
      <c r="I102" s="5"/>
      <c r="J102" s="236"/>
      <c r="K102" s="211"/>
      <c r="L102" s="484"/>
    </row>
    <row r="103" spans="1:17" s="133" customFormat="1" ht="47.25" x14ac:dyDescent="0.2">
      <c r="A103" s="111">
        <f>IF(F103&lt;&gt;"",1+MAX($A$7:A102),"")</f>
        <v>37</v>
      </c>
      <c r="B103" s="122" t="s">
        <v>242</v>
      </c>
      <c r="C103" s="123" t="s">
        <v>243</v>
      </c>
      <c r="D103" s="144"/>
      <c r="E103" s="125" t="s">
        <v>248</v>
      </c>
      <c r="F103" s="126">
        <v>1</v>
      </c>
      <c r="G103" s="233">
        <v>0</v>
      </c>
      <c r="H103" s="234">
        <f t="shared" ref="H103:H105" si="46">F103*(1+G103)</f>
        <v>1</v>
      </c>
      <c r="I103" s="235" t="s">
        <v>20</v>
      </c>
      <c r="J103" s="159">
        <v>0</v>
      </c>
      <c r="K103" s="131">
        <f t="shared" ref="K103:K105" si="47">J103*H103</f>
        <v>0</v>
      </c>
      <c r="L103" s="480"/>
      <c r="M103" s="492"/>
      <c r="N103" s="493"/>
      <c r="O103" s="491"/>
      <c r="P103" s="491"/>
      <c r="Q103" s="491"/>
    </row>
    <row r="104" spans="1:17" s="133" customFormat="1" ht="47.25" x14ac:dyDescent="0.2">
      <c r="A104" s="111">
        <f>IF(F104&lt;&gt;"",1+MAX($A$7:A103),"")</f>
        <v>38</v>
      </c>
      <c r="B104" s="122" t="s">
        <v>242</v>
      </c>
      <c r="C104" s="123" t="s">
        <v>243</v>
      </c>
      <c r="D104" s="144"/>
      <c r="E104" s="125" t="s">
        <v>246</v>
      </c>
      <c r="F104" s="126">
        <f>36+1</f>
        <v>37</v>
      </c>
      <c r="G104" s="233">
        <v>0</v>
      </c>
      <c r="H104" s="234">
        <f t="shared" si="46"/>
        <v>37</v>
      </c>
      <c r="I104" s="235" t="s">
        <v>20</v>
      </c>
      <c r="J104" s="159">
        <v>0</v>
      </c>
      <c r="K104" s="131">
        <f t="shared" si="47"/>
        <v>0</v>
      </c>
      <c r="L104" s="480"/>
      <c r="M104" s="492"/>
      <c r="N104" s="493"/>
      <c r="O104" s="491"/>
      <c r="P104" s="491"/>
      <c r="Q104" s="491"/>
    </row>
    <row r="105" spans="1:17" s="133" customFormat="1" ht="47.25" x14ac:dyDescent="0.2">
      <c r="A105" s="111">
        <f>IF(F105&lt;&gt;"",1+MAX($A$7:A104),"")</f>
        <v>39</v>
      </c>
      <c r="B105" s="122" t="s">
        <v>242</v>
      </c>
      <c r="C105" s="123" t="s">
        <v>243</v>
      </c>
      <c r="D105" s="144"/>
      <c r="E105" s="125" t="s">
        <v>247</v>
      </c>
      <c r="F105" s="126">
        <v>9</v>
      </c>
      <c r="G105" s="127">
        <v>0</v>
      </c>
      <c r="H105" s="128">
        <f t="shared" si="46"/>
        <v>9</v>
      </c>
      <c r="I105" s="129" t="s">
        <v>20</v>
      </c>
      <c r="J105" s="159">
        <v>0</v>
      </c>
      <c r="K105" s="131">
        <f t="shared" si="47"/>
        <v>0</v>
      </c>
      <c r="L105" s="480"/>
      <c r="M105" s="492"/>
      <c r="N105" s="493"/>
      <c r="O105" s="494"/>
      <c r="P105" s="491"/>
      <c r="Q105" s="491"/>
    </row>
    <row r="106" spans="1:17" s="187" customFormat="1" x14ac:dyDescent="0.2">
      <c r="A106" s="111" t="str">
        <f>IF(F106&lt;&gt;"",1+MAX($A$7:A105),"")</f>
        <v/>
      </c>
      <c r="B106" s="207"/>
      <c r="C106" s="32"/>
      <c r="D106" s="201"/>
      <c r="E106" s="208" t="s">
        <v>249</v>
      </c>
      <c r="F106" s="203"/>
      <c r="G106" s="25"/>
      <c r="H106" s="209"/>
      <c r="I106" s="5"/>
      <c r="J106" s="236"/>
      <c r="K106" s="211"/>
      <c r="L106" s="484"/>
    </row>
    <row r="107" spans="1:17" s="133" customFormat="1" ht="47.25" x14ac:dyDescent="0.2">
      <c r="A107" s="111">
        <f>IF(F107&lt;&gt;"",1+MAX($A$7:A106),"")</f>
        <v>40</v>
      </c>
      <c r="B107" s="122" t="s">
        <v>242</v>
      </c>
      <c r="C107" s="123" t="s">
        <v>243</v>
      </c>
      <c r="D107" s="144"/>
      <c r="E107" s="125" t="s">
        <v>250</v>
      </c>
      <c r="F107" s="126">
        <v>1</v>
      </c>
      <c r="G107" s="233">
        <v>0</v>
      </c>
      <c r="H107" s="234">
        <f t="shared" ref="H107:H108" si="48">F107*(1+G107)</f>
        <v>1</v>
      </c>
      <c r="I107" s="235" t="s">
        <v>20</v>
      </c>
      <c r="J107" s="159">
        <v>0</v>
      </c>
      <c r="K107" s="131">
        <f t="shared" ref="K107:K108" si="49">J107*H107</f>
        <v>0</v>
      </c>
      <c r="L107" s="480"/>
      <c r="M107" s="492"/>
      <c r="N107" s="493"/>
      <c r="O107" s="498"/>
      <c r="P107" s="498"/>
      <c r="Q107" s="491"/>
    </row>
    <row r="108" spans="1:17" s="133" customFormat="1" ht="47.25" x14ac:dyDescent="0.2">
      <c r="A108" s="111">
        <f>IF(F108&lt;&gt;"",1+MAX($A$7:A107),"")</f>
        <v>41</v>
      </c>
      <c r="B108" s="122" t="s">
        <v>242</v>
      </c>
      <c r="C108" s="123" t="s">
        <v>243</v>
      </c>
      <c r="D108" s="144"/>
      <c r="E108" s="125" t="s">
        <v>251</v>
      </c>
      <c r="F108" s="126">
        <v>1</v>
      </c>
      <c r="G108" s="233">
        <v>0</v>
      </c>
      <c r="H108" s="234">
        <f t="shared" si="48"/>
        <v>1</v>
      </c>
      <c r="I108" s="235" t="s">
        <v>20</v>
      </c>
      <c r="J108" s="159">
        <v>0</v>
      </c>
      <c r="K108" s="131">
        <f t="shared" si="49"/>
        <v>0</v>
      </c>
      <c r="L108" s="480"/>
      <c r="M108" s="492"/>
      <c r="N108" s="493"/>
      <c r="O108" s="491"/>
      <c r="P108" s="491"/>
      <c r="Q108" s="491"/>
    </row>
    <row r="109" spans="1:17" s="187" customFormat="1" x14ac:dyDescent="0.2">
      <c r="A109" s="111" t="str">
        <f>IF(F109&lt;&gt;"",1+MAX($A$7:A108),"")</f>
        <v/>
      </c>
      <c r="B109" s="207"/>
      <c r="C109" s="32"/>
      <c r="D109" s="201"/>
      <c r="E109" s="208" t="s">
        <v>252</v>
      </c>
      <c r="F109" s="203"/>
      <c r="G109" s="25"/>
      <c r="H109" s="209"/>
      <c r="I109" s="5"/>
      <c r="J109" s="236"/>
      <c r="K109" s="211"/>
      <c r="L109" s="484"/>
    </row>
    <row r="110" spans="1:17" s="133" customFormat="1" ht="63" x14ac:dyDescent="0.2">
      <c r="A110" s="111">
        <f>IF(F110&lt;&gt;"",1+MAX($A$7:A109),"")</f>
        <v>42</v>
      </c>
      <c r="B110" s="122" t="s">
        <v>242</v>
      </c>
      <c r="C110" s="123" t="s">
        <v>243</v>
      </c>
      <c r="D110" s="144"/>
      <c r="E110" s="125" t="s">
        <v>257</v>
      </c>
      <c r="F110" s="126">
        <v>3</v>
      </c>
      <c r="G110" s="233">
        <v>0</v>
      </c>
      <c r="H110" s="234">
        <f t="shared" ref="H110" si="50">F110*(1+G110)</f>
        <v>3</v>
      </c>
      <c r="I110" s="235" t="s">
        <v>20</v>
      </c>
      <c r="J110" s="159">
        <v>0</v>
      </c>
      <c r="K110" s="131">
        <f t="shared" ref="K110" si="51">J110*H110</f>
        <v>0</v>
      </c>
      <c r="L110" s="480"/>
      <c r="M110" s="492"/>
      <c r="N110" s="493"/>
      <c r="O110" s="491"/>
      <c r="P110" s="491"/>
      <c r="Q110" s="491"/>
    </row>
    <row r="111" spans="1:17" s="133" customFormat="1" ht="63" x14ac:dyDescent="0.2">
      <c r="A111" s="111">
        <f>IF(F111&lt;&gt;"",1+MAX($A$7:A110),"")</f>
        <v>43</v>
      </c>
      <c r="B111" s="122" t="s">
        <v>242</v>
      </c>
      <c r="C111" s="123" t="s">
        <v>243</v>
      </c>
      <c r="D111" s="144"/>
      <c r="E111" s="125" t="s">
        <v>258</v>
      </c>
      <c r="F111" s="126">
        <v>62</v>
      </c>
      <c r="G111" s="233">
        <v>0</v>
      </c>
      <c r="H111" s="234">
        <f t="shared" ref="H111" si="52">F111*(1+G111)</f>
        <v>62</v>
      </c>
      <c r="I111" s="235" t="s">
        <v>20</v>
      </c>
      <c r="J111" s="159">
        <v>0</v>
      </c>
      <c r="K111" s="131">
        <f t="shared" ref="K111" si="53">J111*H111</f>
        <v>0</v>
      </c>
      <c r="L111" s="480"/>
      <c r="M111" s="492"/>
      <c r="N111" s="493"/>
      <c r="O111" s="491"/>
      <c r="P111" s="491"/>
      <c r="Q111" s="491"/>
    </row>
    <row r="112" spans="1:17" s="133" customFormat="1" ht="63" x14ac:dyDescent="0.2">
      <c r="A112" s="111">
        <f>IF(F112&lt;&gt;"",1+MAX($A$7:A111),"")</f>
        <v>44</v>
      </c>
      <c r="B112" s="122" t="s">
        <v>242</v>
      </c>
      <c r="C112" s="123" t="s">
        <v>243</v>
      </c>
      <c r="D112" s="144"/>
      <c r="E112" s="125" t="s">
        <v>259</v>
      </c>
      <c r="F112" s="126">
        <v>277</v>
      </c>
      <c r="G112" s="233">
        <v>0</v>
      </c>
      <c r="H112" s="234">
        <f t="shared" ref="H112:H115" si="54">F112*(1+G112)</f>
        <v>277</v>
      </c>
      <c r="I112" s="235" t="s">
        <v>20</v>
      </c>
      <c r="J112" s="159">
        <v>0</v>
      </c>
      <c r="K112" s="131">
        <f t="shared" ref="K112:K115" si="55">J112*H112</f>
        <v>0</v>
      </c>
      <c r="L112" s="480"/>
      <c r="M112" s="492"/>
      <c r="N112" s="493"/>
      <c r="O112" s="491"/>
      <c r="P112" s="491"/>
      <c r="Q112" s="491"/>
    </row>
    <row r="113" spans="1:17" s="133" customFormat="1" ht="63" x14ac:dyDescent="0.2">
      <c r="A113" s="111">
        <f>IF(F113&lt;&gt;"",1+MAX($A$7:A112),"")</f>
        <v>45</v>
      </c>
      <c r="B113" s="122" t="s">
        <v>242</v>
      </c>
      <c r="C113" s="123" t="s">
        <v>243</v>
      </c>
      <c r="D113" s="144"/>
      <c r="E113" s="125" t="s">
        <v>253</v>
      </c>
      <c r="F113" s="126">
        <v>23</v>
      </c>
      <c r="G113" s="233">
        <v>0</v>
      </c>
      <c r="H113" s="234">
        <f t="shared" ref="H113" si="56">F113*(1+G113)</f>
        <v>23</v>
      </c>
      <c r="I113" s="235" t="s">
        <v>20</v>
      </c>
      <c r="J113" s="159">
        <v>0</v>
      </c>
      <c r="K113" s="131">
        <f t="shared" ref="K113" si="57">J113*H113</f>
        <v>0</v>
      </c>
      <c r="L113" s="480"/>
      <c r="M113" s="492"/>
      <c r="N113" s="493"/>
      <c r="O113" s="491"/>
      <c r="P113" s="491"/>
      <c r="Q113" s="491"/>
    </row>
    <row r="114" spans="1:17" s="133" customFormat="1" ht="63" x14ac:dyDescent="0.2">
      <c r="A114" s="111">
        <f>IF(F114&lt;&gt;"",1+MAX($A$7:A113),"")</f>
        <v>46</v>
      </c>
      <c r="B114" s="122" t="s">
        <v>242</v>
      </c>
      <c r="C114" s="123" t="s">
        <v>243</v>
      </c>
      <c r="D114" s="263"/>
      <c r="E114" s="125" t="s">
        <v>254</v>
      </c>
      <c r="F114" s="126">
        <f>18+18</f>
        <v>36</v>
      </c>
      <c r="G114" s="233">
        <v>0</v>
      </c>
      <c r="H114" s="234">
        <f t="shared" si="54"/>
        <v>36</v>
      </c>
      <c r="I114" s="235" t="s">
        <v>20</v>
      </c>
      <c r="J114" s="159">
        <v>0</v>
      </c>
      <c r="K114" s="131">
        <f t="shared" si="55"/>
        <v>0</v>
      </c>
      <c r="L114" s="480"/>
      <c r="M114" s="492"/>
      <c r="N114" s="493"/>
      <c r="O114" s="491"/>
      <c r="P114" s="491"/>
      <c r="Q114" s="491"/>
    </row>
    <row r="115" spans="1:17" s="133" customFormat="1" ht="63" x14ac:dyDescent="0.2">
      <c r="A115" s="111">
        <f>IF(F115&lt;&gt;"",1+MAX($A$7:A114),"")</f>
        <v>47</v>
      </c>
      <c r="B115" s="122" t="s">
        <v>242</v>
      </c>
      <c r="C115" s="123" t="s">
        <v>243</v>
      </c>
      <c r="D115" s="144"/>
      <c r="E115" s="125" t="s">
        <v>255</v>
      </c>
      <c r="F115" s="126">
        <v>15</v>
      </c>
      <c r="G115" s="233">
        <v>0</v>
      </c>
      <c r="H115" s="234">
        <f t="shared" si="54"/>
        <v>15</v>
      </c>
      <c r="I115" s="235" t="s">
        <v>20</v>
      </c>
      <c r="J115" s="159">
        <v>0</v>
      </c>
      <c r="K115" s="131">
        <f t="shared" si="55"/>
        <v>0</v>
      </c>
      <c r="L115" s="480"/>
      <c r="M115" s="492"/>
      <c r="N115" s="493"/>
      <c r="O115" s="491"/>
      <c r="P115" s="491"/>
      <c r="Q115" s="491"/>
    </row>
    <row r="116" spans="1:17" s="133" customFormat="1" ht="63" x14ac:dyDescent="0.2">
      <c r="A116" s="111">
        <f>IF(F116&lt;&gt;"",1+MAX($A$7:A115),"")</f>
        <v>48</v>
      </c>
      <c r="B116" s="122" t="s">
        <v>242</v>
      </c>
      <c r="C116" s="123" t="s">
        <v>243</v>
      </c>
      <c r="D116" s="144"/>
      <c r="E116" s="125" t="s">
        <v>256</v>
      </c>
      <c r="F116" s="126">
        <v>37</v>
      </c>
      <c r="G116" s="233">
        <v>0</v>
      </c>
      <c r="H116" s="234">
        <f t="shared" ref="H116" si="58">F116*(1+G116)</f>
        <v>37</v>
      </c>
      <c r="I116" s="235" t="s">
        <v>20</v>
      </c>
      <c r="J116" s="159">
        <v>0</v>
      </c>
      <c r="K116" s="131">
        <f t="shared" ref="K116" si="59">J116*H116</f>
        <v>0</v>
      </c>
      <c r="L116" s="480"/>
      <c r="M116" s="492"/>
      <c r="N116" s="493"/>
      <c r="O116" s="491"/>
      <c r="P116" s="491"/>
      <c r="Q116" s="491"/>
    </row>
    <row r="117" spans="1:17" s="1" customFormat="1" ht="16.5" thickBot="1" x14ac:dyDescent="0.25">
      <c r="A117" s="111" t="str">
        <f>IF(F117&lt;&gt;"",1+MAX($A$7:A116),"")</f>
        <v/>
      </c>
      <c r="B117" s="2"/>
      <c r="C117" s="2"/>
      <c r="D117" s="41"/>
      <c r="E117" s="55"/>
      <c r="F117" s="46"/>
      <c r="G117" s="47"/>
      <c r="H117" s="46"/>
      <c r="I117" s="48"/>
      <c r="J117" s="135"/>
      <c r="K117" s="66"/>
      <c r="L117" s="19"/>
      <c r="M117" s="155"/>
      <c r="N117" s="113"/>
    </row>
    <row r="118" spans="1:17" s="1" customFormat="1" ht="16.5" thickBot="1" x14ac:dyDescent="0.25">
      <c r="A118" s="111" t="str">
        <f>IF(F118&lt;&gt;"",1+MAX($A$7:A117),"")</f>
        <v/>
      </c>
      <c r="B118" s="2"/>
      <c r="C118" s="2"/>
      <c r="D118" s="41"/>
      <c r="E118" s="55" t="s">
        <v>481</v>
      </c>
      <c r="F118" s="31"/>
      <c r="G118" s="25"/>
      <c r="H118" s="4"/>
      <c r="I118" s="26"/>
      <c r="J118" s="112"/>
      <c r="K118" s="69"/>
      <c r="L118" s="485">
        <f>SUM(K97:K117)</f>
        <v>0</v>
      </c>
      <c r="M118" s="158"/>
      <c r="N118" s="113"/>
    </row>
    <row r="119" spans="1:17" s="133" customFormat="1" ht="19.5" thickBot="1" x14ac:dyDescent="0.25">
      <c r="A119" s="111" t="str">
        <f>IF(F119&lt;&gt;"",1+MAX($A$7:A118),"")</f>
        <v/>
      </c>
      <c r="B119" s="122"/>
      <c r="C119" s="123"/>
      <c r="D119" s="144"/>
      <c r="E119" s="125"/>
      <c r="F119" s="126"/>
      <c r="G119" s="127"/>
      <c r="H119" s="127"/>
      <c r="I119" s="127"/>
      <c r="J119" s="127"/>
      <c r="K119" s="131"/>
      <c r="L119" s="480"/>
      <c r="M119" s="489"/>
      <c r="N119" s="495"/>
      <c r="O119" s="496"/>
      <c r="P119" s="497"/>
      <c r="Q119" s="491"/>
    </row>
    <row r="120" spans="1:17" s="1" customFormat="1" ht="16.5" thickBot="1" x14ac:dyDescent="0.25">
      <c r="A120" s="111" t="str">
        <f>IF(F120&lt;&gt;"",1+MAX($A$7:A119),"")</f>
        <v/>
      </c>
      <c r="B120" s="32"/>
      <c r="C120" s="219"/>
      <c r="D120" s="220"/>
      <c r="E120" s="221" t="s">
        <v>61</v>
      </c>
      <c r="F120" s="222"/>
      <c r="G120" s="223"/>
      <c r="H120" s="224"/>
      <c r="I120" s="225"/>
      <c r="J120" s="230"/>
      <c r="K120" s="231"/>
      <c r="L120" s="481"/>
      <c r="M120" s="151"/>
    </row>
    <row r="121" spans="1:17" s="133" customFormat="1" ht="47.25" x14ac:dyDescent="0.2">
      <c r="A121" s="111">
        <f>IF(F121&lt;&gt;"",1+MAX($A$7:A120),"")</f>
        <v>49</v>
      </c>
      <c r="B121" s="122" t="s">
        <v>225</v>
      </c>
      <c r="C121" s="123" t="s">
        <v>226</v>
      </c>
      <c r="D121" s="144"/>
      <c r="E121" s="125" t="s">
        <v>229</v>
      </c>
      <c r="F121" s="126">
        <f>2.5*5*28</f>
        <v>350</v>
      </c>
      <c r="G121" s="127">
        <v>0.1</v>
      </c>
      <c r="H121" s="128">
        <f t="shared" ref="H121:H129" si="60">F121*(1+G121)</f>
        <v>385.00000000000006</v>
      </c>
      <c r="I121" s="129" t="s">
        <v>18</v>
      </c>
      <c r="J121" s="130">
        <v>0</v>
      </c>
      <c r="K121" s="131">
        <f t="shared" ref="K121:K129" si="61">J121*H121</f>
        <v>0</v>
      </c>
      <c r="L121" s="480"/>
      <c r="M121" s="489"/>
      <c r="N121" s="490"/>
      <c r="O121" s="491"/>
      <c r="P121" s="491"/>
      <c r="Q121" s="491"/>
    </row>
    <row r="122" spans="1:17" s="133" customFormat="1" ht="47.25" x14ac:dyDescent="0.2">
      <c r="A122" s="111">
        <f>IF(F122&lt;&gt;"",1+MAX($A$7:A121),"")</f>
        <v>50</v>
      </c>
      <c r="B122" s="122" t="s">
        <v>225</v>
      </c>
      <c r="C122" s="123" t="s">
        <v>226</v>
      </c>
      <c r="D122" s="144"/>
      <c r="E122" s="125" t="s">
        <v>230</v>
      </c>
      <c r="F122" s="126">
        <f>3*5*179</f>
        <v>2685</v>
      </c>
      <c r="G122" s="127">
        <v>0.1</v>
      </c>
      <c r="H122" s="128">
        <f t="shared" si="60"/>
        <v>2953.5000000000005</v>
      </c>
      <c r="I122" s="129" t="s">
        <v>18</v>
      </c>
      <c r="J122" s="479">
        <f t="shared" ref="J122:J130" si="62">J$121</f>
        <v>0</v>
      </c>
      <c r="K122" s="131">
        <f t="shared" si="61"/>
        <v>0</v>
      </c>
      <c r="L122" s="480"/>
      <c r="M122" s="489"/>
      <c r="N122" s="490"/>
      <c r="O122" s="491"/>
      <c r="P122" s="491"/>
      <c r="Q122" s="491"/>
    </row>
    <row r="123" spans="1:17" s="133" customFormat="1" ht="47.25" x14ac:dyDescent="0.2">
      <c r="A123" s="111">
        <f>IF(F123&lt;&gt;"",1+MAX($A$7:A122),"")</f>
        <v>51</v>
      </c>
      <c r="B123" s="122" t="s">
        <v>225</v>
      </c>
      <c r="C123" s="123" t="s">
        <v>226</v>
      </c>
      <c r="D123" s="144"/>
      <c r="E123" s="125" t="s">
        <v>231</v>
      </c>
      <c r="F123" s="126">
        <f>2.5*6*10</f>
        <v>150</v>
      </c>
      <c r="G123" s="127">
        <v>0.1</v>
      </c>
      <c r="H123" s="128">
        <f t="shared" ref="H123" si="63">F123*(1+G123)</f>
        <v>165</v>
      </c>
      <c r="I123" s="129" t="s">
        <v>18</v>
      </c>
      <c r="J123" s="479">
        <f t="shared" si="62"/>
        <v>0</v>
      </c>
      <c r="K123" s="131">
        <f t="shared" ref="K123" si="64">J123*H123</f>
        <v>0</v>
      </c>
      <c r="L123" s="480"/>
      <c r="M123" s="489"/>
      <c r="N123" s="490"/>
      <c r="O123" s="491"/>
      <c r="P123" s="491"/>
      <c r="Q123" s="491"/>
    </row>
    <row r="124" spans="1:17" s="133" customFormat="1" ht="47.25" x14ac:dyDescent="0.2">
      <c r="A124" s="111">
        <f>IF(F124&lt;&gt;"",1+MAX($A$7:A123),"")</f>
        <v>52</v>
      </c>
      <c r="B124" s="122" t="s">
        <v>225</v>
      </c>
      <c r="C124" s="123" t="s">
        <v>226</v>
      </c>
      <c r="D124" s="144"/>
      <c r="E124" s="125" t="s">
        <v>232</v>
      </c>
      <c r="F124" s="126">
        <f>2*2.5*4</f>
        <v>20</v>
      </c>
      <c r="G124" s="127">
        <v>0.1</v>
      </c>
      <c r="H124" s="128">
        <f t="shared" si="60"/>
        <v>22</v>
      </c>
      <c r="I124" s="129" t="s">
        <v>18</v>
      </c>
      <c r="J124" s="479">
        <f t="shared" si="62"/>
        <v>0</v>
      </c>
      <c r="K124" s="131">
        <f t="shared" si="61"/>
        <v>0</v>
      </c>
      <c r="L124" s="480"/>
      <c r="M124" s="489"/>
      <c r="N124" s="490"/>
      <c r="O124" s="491"/>
      <c r="P124" s="491"/>
      <c r="Q124" s="491"/>
    </row>
    <row r="125" spans="1:17" s="133" customFormat="1" ht="47.25" x14ac:dyDescent="0.2">
      <c r="A125" s="111">
        <f>IF(F125&lt;&gt;"",1+MAX($A$7:A124),"")</f>
        <v>53</v>
      </c>
      <c r="B125" s="122" t="s">
        <v>225</v>
      </c>
      <c r="C125" s="123" t="s">
        <v>226</v>
      </c>
      <c r="D125" s="144"/>
      <c r="E125" s="125" t="s">
        <v>233</v>
      </c>
      <c r="F125" s="126">
        <f>4.167*5*8</f>
        <v>166.68</v>
      </c>
      <c r="G125" s="127">
        <v>0.1</v>
      </c>
      <c r="H125" s="128">
        <f t="shared" si="60"/>
        <v>183.34800000000001</v>
      </c>
      <c r="I125" s="129" t="s">
        <v>18</v>
      </c>
      <c r="J125" s="479">
        <f t="shared" si="62"/>
        <v>0</v>
      </c>
      <c r="K125" s="131">
        <f t="shared" si="61"/>
        <v>0</v>
      </c>
      <c r="L125" s="480"/>
      <c r="M125" s="489"/>
      <c r="N125" s="490"/>
      <c r="O125" s="491"/>
      <c r="P125" s="491"/>
      <c r="Q125" s="491"/>
    </row>
    <row r="126" spans="1:17" s="133" customFormat="1" ht="47.25" x14ac:dyDescent="0.2">
      <c r="A126" s="111">
        <f>IF(F126&lt;&gt;"",1+MAX($A$7:A125),"")</f>
        <v>54</v>
      </c>
      <c r="B126" s="122" t="s">
        <v>225</v>
      </c>
      <c r="C126" s="123" t="s">
        <v>226</v>
      </c>
      <c r="D126" s="144"/>
      <c r="E126" s="125" t="s">
        <v>234</v>
      </c>
      <c r="F126" s="126">
        <f>6*4.58*21</f>
        <v>577.08000000000004</v>
      </c>
      <c r="G126" s="127">
        <v>0.1</v>
      </c>
      <c r="H126" s="128">
        <f t="shared" si="60"/>
        <v>634.78800000000012</v>
      </c>
      <c r="I126" s="129" t="s">
        <v>18</v>
      </c>
      <c r="J126" s="479">
        <f t="shared" si="62"/>
        <v>0</v>
      </c>
      <c r="K126" s="131">
        <f t="shared" si="61"/>
        <v>0</v>
      </c>
      <c r="L126" s="480"/>
      <c r="M126" s="489"/>
      <c r="N126" s="490"/>
      <c r="O126" s="491"/>
      <c r="P126" s="491"/>
      <c r="Q126" s="491"/>
    </row>
    <row r="127" spans="1:17" s="133" customFormat="1" ht="47.25" x14ac:dyDescent="0.2">
      <c r="A127" s="111">
        <f>IF(F127&lt;&gt;"",1+MAX($A$7:A126),"")</f>
        <v>55</v>
      </c>
      <c r="B127" s="122" t="s">
        <v>225</v>
      </c>
      <c r="C127" s="123" t="s">
        <v>226</v>
      </c>
      <c r="D127" s="144"/>
      <c r="E127" s="125" t="s">
        <v>235</v>
      </c>
      <c r="F127" s="126">
        <f>5*6*17</f>
        <v>510</v>
      </c>
      <c r="G127" s="127">
        <v>0.1</v>
      </c>
      <c r="H127" s="128">
        <f t="shared" si="60"/>
        <v>561</v>
      </c>
      <c r="I127" s="129" t="s">
        <v>18</v>
      </c>
      <c r="J127" s="479">
        <f t="shared" si="62"/>
        <v>0</v>
      </c>
      <c r="K127" s="131">
        <f t="shared" si="61"/>
        <v>0</v>
      </c>
      <c r="L127" s="480"/>
      <c r="M127" s="489"/>
      <c r="N127" s="490"/>
      <c r="O127" s="491"/>
      <c r="P127" s="491"/>
      <c r="Q127" s="491"/>
    </row>
    <row r="128" spans="1:17" s="133" customFormat="1" ht="47.25" x14ac:dyDescent="0.2">
      <c r="A128" s="111">
        <f>IF(F128&lt;&gt;"",1+MAX($A$7:A127),"")</f>
        <v>56</v>
      </c>
      <c r="B128" s="122" t="s">
        <v>225</v>
      </c>
      <c r="C128" s="123" t="s">
        <v>226</v>
      </c>
      <c r="D128" s="144"/>
      <c r="E128" s="125" t="s">
        <v>236</v>
      </c>
      <c r="F128" s="126">
        <f>6*6*15</f>
        <v>540</v>
      </c>
      <c r="G128" s="127">
        <v>0.1</v>
      </c>
      <c r="H128" s="128">
        <f t="shared" si="60"/>
        <v>594</v>
      </c>
      <c r="I128" s="129" t="s">
        <v>18</v>
      </c>
      <c r="J128" s="479">
        <f t="shared" si="62"/>
        <v>0</v>
      </c>
      <c r="K128" s="131">
        <f t="shared" si="61"/>
        <v>0</v>
      </c>
      <c r="L128" s="480"/>
      <c r="M128" s="489"/>
      <c r="N128" s="490"/>
      <c r="O128" s="491"/>
      <c r="P128" s="491"/>
      <c r="Q128" s="491"/>
    </row>
    <row r="129" spans="1:17" s="133" customFormat="1" ht="47.25" x14ac:dyDescent="0.2">
      <c r="A129" s="111">
        <f>IF(F129&lt;&gt;"",1+MAX($A$7:A128),"")</f>
        <v>57</v>
      </c>
      <c r="B129" s="122" t="s">
        <v>225</v>
      </c>
      <c r="C129" s="123" t="s">
        <v>226</v>
      </c>
      <c r="D129" s="144"/>
      <c r="E129" s="125" t="s">
        <v>237</v>
      </c>
      <c r="F129" s="126">
        <f>6*7.5*4</f>
        <v>180</v>
      </c>
      <c r="G129" s="127">
        <v>0.1</v>
      </c>
      <c r="H129" s="128">
        <f t="shared" si="60"/>
        <v>198.00000000000003</v>
      </c>
      <c r="I129" s="129" t="s">
        <v>18</v>
      </c>
      <c r="J129" s="479">
        <f t="shared" si="62"/>
        <v>0</v>
      </c>
      <c r="K129" s="131">
        <f t="shared" si="61"/>
        <v>0</v>
      </c>
      <c r="L129" s="480"/>
      <c r="M129" s="489"/>
      <c r="N129" s="490"/>
      <c r="O129" s="494"/>
      <c r="P129" s="491"/>
      <c r="Q129" s="491"/>
    </row>
    <row r="130" spans="1:17" s="133" customFormat="1" ht="47.25" x14ac:dyDescent="0.2">
      <c r="A130" s="111">
        <f>IF(F130&lt;&gt;"",1+MAX($A$7:A129),"")</f>
        <v>58</v>
      </c>
      <c r="B130" s="122" t="s">
        <v>225</v>
      </c>
      <c r="C130" s="123" t="s">
        <v>226</v>
      </c>
      <c r="D130" s="144"/>
      <c r="E130" s="125" t="s">
        <v>238</v>
      </c>
      <c r="F130" s="126">
        <f>2.5*2.59</f>
        <v>6.4749999999999996</v>
      </c>
      <c r="G130" s="127">
        <v>0.1</v>
      </c>
      <c r="H130" s="128">
        <f t="shared" ref="H130" si="65">F130*(1+G130)</f>
        <v>7.1225000000000005</v>
      </c>
      <c r="I130" s="129" t="s">
        <v>18</v>
      </c>
      <c r="J130" s="479">
        <f t="shared" si="62"/>
        <v>0</v>
      </c>
      <c r="K130" s="131">
        <f t="shared" ref="K130" si="66">J130*H130</f>
        <v>0</v>
      </c>
      <c r="L130" s="480"/>
      <c r="M130" s="489"/>
      <c r="N130" s="490"/>
      <c r="O130" s="494"/>
      <c r="P130" s="491"/>
      <c r="Q130" s="491"/>
    </row>
    <row r="131" spans="1:17" s="1" customFormat="1" ht="16.5" thickBot="1" x14ac:dyDescent="0.25">
      <c r="A131" s="111" t="str">
        <f>IF(F131&lt;&gt;"",1+MAX($A$7:A130),"")</f>
        <v/>
      </c>
      <c r="B131" s="2"/>
      <c r="C131" s="2"/>
      <c r="D131" s="41"/>
      <c r="E131" s="55"/>
      <c r="F131" s="46"/>
      <c r="G131" s="47"/>
      <c r="H131" s="46"/>
      <c r="I131" s="48"/>
      <c r="J131" s="135"/>
      <c r="K131" s="66"/>
      <c r="L131" s="19"/>
      <c r="M131" s="155"/>
      <c r="N131" s="113"/>
    </row>
    <row r="132" spans="1:17" s="1" customFormat="1" ht="16.5" thickBot="1" x14ac:dyDescent="0.25">
      <c r="A132" s="111" t="str">
        <f>IF(F132&lt;&gt;"",1+MAX($A$7:A131),"")</f>
        <v/>
      </c>
      <c r="B132" s="2"/>
      <c r="C132" s="2"/>
      <c r="D132" s="41"/>
      <c r="E132" s="55" t="s">
        <v>483</v>
      </c>
      <c r="F132" s="31"/>
      <c r="G132" s="25"/>
      <c r="H132" s="4"/>
      <c r="I132" s="26"/>
      <c r="J132" s="112"/>
      <c r="K132" s="69"/>
      <c r="L132" s="485">
        <f>SUM(K120:K131)</f>
        <v>0</v>
      </c>
      <c r="M132" s="158"/>
      <c r="N132" s="113"/>
    </row>
    <row r="133" spans="1:17" s="133" customFormat="1" ht="19.5" thickBot="1" x14ac:dyDescent="0.25">
      <c r="A133" s="111" t="str">
        <f>IF(F133&lt;&gt;"",1+MAX($A$7:A132),"")</f>
        <v/>
      </c>
      <c r="B133" s="122"/>
      <c r="C133" s="123"/>
      <c r="D133" s="144"/>
      <c r="E133" s="125"/>
      <c r="F133" s="126"/>
      <c r="G133" s="127"/>
      <c r="H133" s="127"/>
      <c r="I133" s="127"/>
      <c r="J133" s="127"/>
      <c r="K133" s="131"/>
      <c r="L133" s="480"/>
      <c r="M133" s="489"/>
      <c r="N133" s="495"/>
      <c r="O133" s="496"/>
      <c r="P133" s="491"/>
      <c r="Q133" s="491"/>
    </row>
    <row r="134" spans="1:17" s="1" customFormat="1" ht="16.5" thickBot="1" x14ac:dyDescent="0.25">
      <c r="A134" s="111" t="str">
        <f>IF(F134&lt;&gt;"",1+MAX($A$7:A133),"")</f>
        <v/>
      </c>
      <c r="B134" s="32"/>
      <c r="C134" s="219"/>
      <c r="D134" s="220"/>
      <c r="E134" s="221" t="s">
        <v>227</v>
      </c>
      <c r="F134" s="222"/>
      <c r="G134" s="223"/>
      <c r="H134" s="224"/>
      <c r="I134" s="225"/>
      <c r="J134" s="230"/>
      <c r="K134" s="231"/>
      <c r="L134" s="481"/>
      <c r="M134" s="151"/>
    </row>
    <row r="135" spans="1:17" s="133" customFormat="1" ht="31.5" x14ac:dyDescent="0.2">
      <c r="A135" s="111">
        <f>IF(F135&lt;&gt;"",1+MAX($A$7:A134),"")</f>
        <v>59</v>
      </c>
      <c r="B135" s="122" t="s">
        <v>228</v>
      </c>
      <c r="C135" s="123"/>
      <c r="D135" s="144"/>
      <c r="E135" s="125" t="s">
        <v>239</v>
      </c>
      <c r="F135" s="126">
        <v>459.2</v>
      </c>
      <c r="G135" s="127">
        <v>0.1</v>
      </c>
      <c r="H135" s="128">
        <f t="shared" ref="H135" si="67">F135*(1+G135)</f>
        <v>505.12</v>
      </c>
      <c r="I135" s="129" t="s">
        <v>18</v>
      </c>
      <c r="J135" s="479">
        <f t="shared" ref="J135" si="68">J$121</f>
        <v>0</v>
      </c>
      <c r="K135" s="131">
        <f t="shared" ref="K135" si="69">J135*H135</f>
        <v>0</v>
      </c>
      <c r="L135" s="480"/>
      <c r="M135" s="489"/>
      <c r="N135" s="490"/>
      <c r="O135" s="491"/>
      <c r="P135" s="491"/>
      <c r="Q135" s="491"/>
    </row>
    <row r="136" spans="1:17" s="1" customFormat="1" ht="16.5" thickBot="1" x14ac:dyDescent="0.25">
      <c r="A136" s="111" t="str">
        <f>IF(F136&lt;&gt;"",1+MAX($A$7:A135),"")</f>
        <v/>
      </c>
      <c r="B136" s="2"/>
      <c r="C136" s="2"/>
      <c r="D136" s="41"/>
      <c r="E136" s="55"/>
      <c r="F136" s="46"/>
      <c r="G136" s="47"/>
      <c r="H136" s="46"/>
      <c r="I136" s="48"/>
      <c r="J136" s="135"/>
      <c r="K136" s="66"/>
      <c r="L136" s="19"/>
      <c r="M136" s="155"/>
      <c r="N136" s="113"/>
    </row>
    <row r="137" spans="1:17" s="1" customFormat="1" ht="16.5" thickBot="1" x14ac:dyDescent="0.25">
      <c r="A137" s="111" t="str">
        <f>IF(F137&lt;&gt;"",1+MAX($A$7:A136),"")</f>
        <v/>
      </c>
      <c r="B137" s="2"/>
      <c r="C137" s="2"/>
      <c r="D137" s="41"/>
      <c r="E137" s="55" t="s">
        <v>482</v>
      </c>
      <c r="F137" s="31"/>
      <c r="G137" s="25"/>
      <c r="H137" s="4"/>
      <c r="I137" s="26"/>
      <c r="J137" s="112"/>
      <c r="K137" s="69"/>
      <c r="L137" s="136">
        <f>SUM(K134:K136)</f>
        <v>0</v>
      </c>
      <c r="M137" s="158"/>
      <c r="N137" s="113"/>
    </row>
    <row r="138" spans="1:17" s="13" customFormat="1" ht="16.5" thickBot="1" x14ac:dyDescent="0.25">
      <c r="A138" s="111" t="str">
        <f>IF(F138&lt;&gt;"",1+MAX($A$7:A137),"")</f>
        <v/>
      </c>
      <c r="B138" s="2"/>
      <c r="C138" s="14"/>
      <c r="D138" s="14"/>
      <c r="E138" s="16"/>
      <c r="F138" s="17"/>
      <c r="G138" s="3"/>
      <c r="H138" s="4"/>
      <c r="I138" s="5"/>
      <c r="J138" s="72"/>
      <c r="K138" s="79"/>
      <c r="L138" s="21"/>
      <c r="M138" s="156"/>
    </row>
    <row r="139" spans="1:17" s="13" customFormat="1" ht="16.5" thickBot="1" x14ac:dyDescent="0.25">
      <c r="A139" s="111" t="str">
        <f>IF(F139&lt;&gt;"",1+MAX($A$7:A138),"")</f>
        <v/>
      </c>
      <c r="B139" s="61"/>
      <c r="C139" s="27"/>
      <c r="D139" s="27" t="s">
        <v>21</v>
      </c>
      <c r="E139" s="51" t="s">
        <v>22</v>
      </c>
      <c r="F139" s="30"/>
      <c r="G139" s="24"/>
      <c r="H139" s="24"/>
      <c r="I139" s="24"/>
      <c r="J139" s="71"/>
      <c r="K139" s="64"/>
      <c r="L139" s="21"/>
      <c r="M139" s="156"/>
    </row>
    <row r="140" spans="1:17" s="1" customFormat="1" ht="16.5" thickBot="1" x14ac:dyDescent="0.25">
      <c r="A140" s="111" t="str">
        <f>IF(F140&lt;&gt;"",1+MAX($A$7:A139),"")</f>
        <v/>
      </c>
      <c r="B140" s="32"/>
      <c r="C140" s="219"/>
      <c r="D140" s="220"/>
      <c r="E140" s="221" t="s">
        <v>57</v>
      </c>
      <c r="F140" s="222"/>
      <c r="G140" s="223"/>
      <c r="H140" s="224"/>
      <c r="I140" s="225"/>
      <c r="J140" s="226"/>
      <c r="K140" s="227"/>
      <c r="L140" s="21"/>
      <c r="M140" s="151"/>
    </row>
    <row r="141" spans="1:17" s="187" customFormat="1" x14ac:dyDescent="0.2">
      <c r="A141" s="111" t="str">
        <f>IF(F141&lt;&gt;"",1+MAX($A$7:A140),"")</f>
        <v/>
      </c>
      <c r="B141" s="32"/>
      <c r="C141" s="200"/>
      <c r="D141" s="201"/>
      <c r="E141" s="202" t="s">
        <v>198</v>
      </c>
      <c r="F141" s="203"/>
      <c r="G141" s="3"/>
      <c r="H141" s="4"/>
      <c r="I141" s="26"/>
      <c r="J141" s="204"/>
      <c r="K141" s="205"/>
      <c r="L141" s="206"/>
    </row>
    <row r="142" spans="1:17" s="187" customFormat="1" x14ac:dyDescent="0.2">
      <c r="A142" s="111" t="str">
        <f>IF(F142&lt;&gt;"",1+MAX($A$7:A141),"")</f>
        <v/>
      </c>
      <c r="B142" s="207"/>
      <c r="C142" s="207"/>
      <c r="D142" s="201"/>
      <c r="E142" s="208" t="s">
        <v>151</v>
      </c>
      <c r="F142" s="203"/>
      <c r="G142" s="25"/>
      <c r="H142" s="209"/>
      <c r="I142" s="5"/>
      <c r="J142" s="210"/>
      <c r="K142" s="211"/>
      <c r="L142" s="206"/>
    </row>
    <row r="143" spans="1:17" s="187" customFormat="1" ht="31.5" x14ac:dyDescent="0.2">
      <c r="A143" s="111">
        <f>IF(F143&lt;&gt;"",1+MAX($A$7:A142),"")</f>
        <v>60</v>
      </c>
      <c r="B143" s="2" t="s">
        <v>112</v>
      </c>
      <c r="C143" s="2" t="s">
        <v>111</v>
      </c>
      <c r="D143" s="212"/>
      <c r="E143" s="213" t="s">
        <v>72</v>
      </c>
      <c r="F143" s="17">
        <f>13.3*10*2*2</f>
        <v>532</v>
      </c>
      <c r="G143" s="127">
        <v>0.1</v>
      </c>
      <c r="H143" s="33">
        <f>F143*(1+G143)</f>
        <v>585.20000000000005</v>
      </c>
      <c r="I143" s="34" t="s">
        <v>18</v>
      </c>
      <c r="J143" s="130">
        <v>0</v>
      </c>
      <c r="K143" s="205">
        <f>J143*H143</f>
        <v>0</v>
      </c>
      <c r="L143" s="206"/>
    </row>
    <row r="144" spans="1:17" s="187" customFormat="1" x14ac:dyDescent="0.2">
      <c r="A144" s="111" t="str">
        <f>IF(F144&lt;&gt;"",1+MAX($A$7:A143),"")</f>
        <v/>
      </c>
      <c r="B144" s="45"/>
      <c r="C144" s="45"/>
      <c r="D144" s="214"/>
      <c r="E144" s="215" t="s">
        <v>48</v>
      </c>
      <c r="F144" s="216"/>
      <c r="G144" s="217"/>
      <c r="H144" s="33">
        <f>ROUNDUP((H143)/32,0)</f>
        <v>19</v>
      </c>
      <c r="I144" s="34" t="s">
        <v>49</v>
      </c>
      <c r="J144" s="204"/>
      <c r="K144" s="205"/>
      <c r="L144" s="206"/>
    </row>
    <row r="145" spans="1:12" s="187" customFormat="1" x14ac:dyDescent="0.2">
      <c r="A145" s="111" t="str">
        <f>IF(F145&lt;&gt;"",1+MAX($A$7:A144),"")</f>
        <v/>
      </c>
      <c r="B145" s="45"/>
      <c r="C145" s="45"/>
      <c r="D145" s="214"/>
      <c r="E145" s="215" t="s">
        <v>50</v>
      </c>
      <c r="F145" s="216"/>
      <c r="G145" s="217"/>
      <c r="H145" s="33">
        <f>ROUNDUP(H144*24/500,0)</f>
        <v>1</v>
      </c>
      <c r="I145" s="34" t="s">
        <v>51</v>
      </c>
      <c r="J145" s="204"/>
      <c r="K145" s="205"/>
      <c r="L145" s="206"/>
    </row>
    <row r="146" spans="1:12" s="187" customFormat="1" x14ac:dyDescent="0.2">
      <c r="A146" s="111" t="str">
        <f>IF(F146&lt;&gt;"",1+MAX($A$7:A145),"")</f>
        <v/>
      </c>
      <c r="B146" s="45"/>
      <c r="C146" s="45"/>
      <c r="D146" s="214"/>
      <c r="E146" s="215" t="s">
        <v>52</v>
      </c>
      <c r="F146" s="216"/>
      <c r="G146" s="217"/>
      <c r="H146" s="218">
        <f>ROUNDUP((H143)/200,0)</f>
        <v>3</v>
      </c>
      <c r="I146" s="34" t="s">
        <v>53</v>
      </c>
      <c r="J146" s="204"/>
      <c r="K146" s="205"/>
      <c r="L146" s="206"/>
    </row>
    <row r="147" spans="1:12" s="187" customFormat="1" x14ac:dyDescent="0.2">
      <c r="A147" s="111" t="str">
        <f>IF(F147&lt;&gt;"",1+MAX($A$7:A146),"")</f>
        <v/>
      </c>
      <c r="B147" s="45"/>
      <c r="C147" s="45"/>
      <c r="D147" s="214"/>
      <c r="E147" s="215" t="s">
        <v>54</v>
      </c>
      <c r="F147" s="216"/>
      <c r="G147" s="217"/>
      <c r="H147" s="218">
        <f>ROUNDUP((H143)*5.25/1000,0)</f>
        <v>4</v>
      </c>
      <c r="I147" s="34" t="s">
        <v>55</v>
      </c>
      <c r="J147" s="204"/>
      <c r="K147" s="205"/>
      <c r="L147" s="206"/>
    </row>
    <row r="148" spans="1:12" s="187" customFormat="1" x14ac:dyDescent="0.2">
      <c r="A148" s="111">
        <f>IF(F148&lt;&gt;"",1+MAX($A$7:A147),"")</f>
        <v>61</v>
      </c>
      <c r="B148" s="2" t="s">
        <v>112</v>
      </c>
      <c r="C148" s="2" t="s">
        <v>111</v>
      </c>
      <c r="D148" s="214"/>
      <c r="E148" s="213" t="s">
        <v>109</v>
      </c>
      <c r="F148" s="17">
        <f>13.3*4</f>
        <v>53.2</v>
      </c>
      <c r="G148" s="127">
        <v>0.1</v>
      </c>
      <c r="H148" s="33">
        <f>F148*(1+G148)</f>
        <v>58.52000000000001</v>
      </c>
      <c r="I148" s="34" t="s">
        <v>15</v>
      </c>
      <c r="J148" s="130">
        <v>0</v>
      </c>
      <c r="K148" s="205">
        <f>J148*H148</f>
        <v>0</v>
      </c>
      <c r="L148" s="206"/>
    </row>
    <row r="149" spans="1:12" s="187" customFormat="1" x14ac:dyDescent="0.2">
      <c r="A149" s="111">
        <f>IF(F149&lt;&gt;"",1+MAX($A$7:A148),"")</f>
        <v>62</v>
      </c>
      <c r="B149" s="2" t="s">
        <v>112</v>
      </c>
      <c r="C149" s="2" t="s">
        <v>111</v>
      </c>
      <c r="D149" s="212"/>
      <c r="E149" s="213" t="s">
        <v>133</v>
      </c>
      <c r="F149" s="17">
        <f>13.3*10</f>
        <v>133</v>
      </c>
      <c r="G149" s="127">
        <v>0.1</v>
      </c>
      <c r="H149" s="33">
        <f>F149*(1+G149)</f>
        <v>146.30000000000001</v>
      </c>
      <c r="I149" s="34" t="s">
        <v>18</v>
      </c>
      <c r="J149" s="130">
        <v>0</v>
      </c>
      <c r="K149" s="205">
        <f>J149*H149</f>
        <v>0</v>
      </c>
      <c r="L149" s="206"/>
    </row>
    <row r="150" spans="1:12" s="187" customFormat="1" x14ac:dyDescent="0.2">
      <c r="A150" s="111" t="str">
        <f>IF(F150&lt;&gt;"",1+MAX($A$7:A149),"")</f>
        <v/>
      </c>
      <c r="B150" s="2"/>
      <c r="C150" s="2"/>
      <c r="D150" s="214"/>
      <c r="E150" s="243" t="s">
        <v>56</v>
      </c>
      <c r="F150" s="17"/>
      <c r="G150" s="127"/>
      <c r="H150" s="33">
        <f>(13.3/1.167+1)</f>
        <v>12.396743787489289</v>
      </c>
      <c r="I150" s="34" t="s">
        <v>20</v>
      </c>
      <c r="J150" s="204"/>
      <c r="K150" s="205"/>
      <c r="L150" s="206"/>
    </row>
    <row r="151" spans="1:12" s="187" customFormat="1" x14ac:dyDescent="0.2">
      <c r="A151" s="111">
        <f>IF(F151&lt;&gt;"",1+MAX($A$7:A150),"")</f>
        <v>63</v>
      </c>
      <c r="B151" s="2" t="s">
        <v>112</v>
      </c>
      <c r="C151" s="2" t="s">
        <v>111</v>
      </c>
      <c r="D151" s="214"/>
      <c r="E151" s="213" t="s">
        <v>134</v>
      </c>
      <c r="F151" s="17">
        <f>13.3*2</f>
        <v>26.6</v>
      </c>
      <c r="G151" s="127">
        <v>0.1</v>
      </c>
      <c r="H151" s="33">
        <f>F151*(1+G151)</f>
        <v>29.260000000000005</v>
      </c>
      <c r="I151" s="34" t="s">
        <v>15</v>
      </c>
      <c r="J151" s="130">
        <v>0</v>
      </c>
      <c r="K151" s="205">
        <f>J151*H151</f>
        <v>0</v>
      </c>
      <c r="L151" s="206"/>
    </row>
    <row r="152" spans="1:12" s="187" customFormat="1" x14ac:dyDescent="0.2">
      <c r="A152" s="111" t="str">
        <f>IF(F152&lt;&gt;"",1+MAX($A$7:A151),"")</f>
        <v/>
      </c>
      <c r="B152" s="2"/>
      <c r="C152" s="2"/>
      <c r="D152" s="214"/>
      <c r="E152" s="213"/>
      <c r="F152" s="17"/>
      <c r="G152" s="127"/>
      <c r="H152" s="33"/>
      <c r="I152" s="34"/>
      <c r="J152" s="204"/>
      <c r="K152" s="205"/>
      <c r="L152" s="206"/>
    </row>
    <row r="153" spans="1:12" s="187" customFormat="1" x14ac:dyDescent="0.2">
      <c r="A153" s="111" t="str">
        <f>IF(F153&lt;&gt;"",1+MAX($A$7:A152),"")</f>
        <v/>
      </c>
      <c r="B153" s="32"/>
      <c r="C153" s="200"/>
      <c r="D153" s="201"/>
      <c r="E153" s="202" t="s">
        <v>62</v>
      </c>
      <c r="F153" s="203"/>
      <c r="G153" s="3"/>
      <c r="H153" s="4"/>
      <c r="I153" s="26"/>
      <c r="J153" s="204"/>
      <c r="K153" s="205"/>
      <c r="L153" s="206"/>
    </row>
    <row r="154" spans="1:12" s="187" customFormat="1" x14ac:dyDescent="0.2">
      <c r="A154" s="111" t="str">
        <f>IF(F154&lt;&gt;"",1+MAX($A$7:A153),"")</f>
        <v/>
      </c>
      <c r="B154" s="207"/>
      <c r="C154" s="207"/>
      <c r="D154" s="201"/>
      <c r="E154" s="208" t="s">
        <v>110</v>
      </c>
      <c r="F154" s="203"/>
      <c r="G154" s="25"/>
      <c r="H154" s="209"/>
      <c r="I154" s="5"/>
      <c r="J154" s="210"/>
      <c r="K154" s="211"/>
      <c r="L154" s="206"/>
    </row>
    <row r="155" spans="1:12" s="187" customFormat="1" x14ac:dyDescent="0.2">
      <c r="A155" s="111">
        <f>IF(F155&lt;&gt;"",1+MAX($A$7:A154),"")</f>
        <v>64</v>
      </c>
      <c r="B155" s="2" t="s">
        <v>112</v>
      </c>
      <c r="C155" s="2" t="s">
        <v>111</v>
      </c>
      <c r="D155" s="212"/>
      <c r="E155" s="213" t="s">
        <v>107</v>
      </c>
      <c r="F155" s="17">
        <f>64.6*9.75*2+20*9.75</f>
        <v>1454.6999999999998</v>
      </c>
      <c r="G155" s="127">
        <v>0.1</v>
      </c>
      <c r="H155" s="33">
        <f>F155*(1+G155)</f>
        <v>1600.1699999999998</v>
      </c>
      <c r="I155" s="34" t="s">
        <v>18</v>
      </c>
      <c r="J155" s="204">
        <f>J$143</f>
        <v>0</v>
      </c>
      <c r="K155" s="205">
        <f>J155*H155</f>
        <v>0</v>
      </c>
      <c r="L155" s="206"/>
    </row>
    <row r="156" spans="1:12" s="187" customFormat="1" x14ac:dyDescent="0.2">
      <c r="A156" s="111" t="str">
        <f>IF(F156&lt;&gt;"",1+MAX($A$7:A155),"")</f>
        <v/>
      </c>
      <c r="B156" s="45"/>
      <c r="C156" s="45"/>
      <c r="D156" s="214"/>
      <c r="E156" s="215" t="s">
        <v>48</v>
      </c>
      <c r="F156" s="216"/>
      <c r="G156" s="217"/>
      <c r="H156" s="33">
        <f>ROUNDUP((H155)/32,0)</f>
        <v>51</v>
      </c>
      <c r="I156" s="34" t="s">
        <v>49</v>
      </c>
      <c r="J156" s="204"/>
      <c r="K156" s="205"/>
      <c r="L156" s="206"/>
    </row>
    <row r="157" spans="1:12" s="187" customFormat="1" x14ac:dyDescent="0.2">
      <c r="A157" s="111" t="str">
        <f>IF(F157&lt;&gt;"",1+MAX($A$7:A156),"")</f>
        <v/>
      </c>
      <c r="B157" s="45"/>
      <c r="C157" s="45"/>
      <c r="D157" s="214"/>
      <c r="E157" s="215" t="s">
        <v>50</v>
      </c>
      <c r="F157" s="216"/>
      <c r="G157" s="217"/>
      <c r="H157" s="33">
        <f>ROUNDUP(H156*24/500,0)</f>
        <v>3</v>
      </c>
      <c r="I157" s="34" t="s">
        <v>51</v>
      </c>
      <c r="J157" s="204"/>
      <c r="K157" s="205"/>
      <c r="L157" s="206"/>
    </row>
    <row r="158" spans="1:12" s="187" customFormat="1" x14ac:dyDescent="0.2">
      <c r="A158" s="111" t="str">
        <f>IF(F158&lt;&gt;"",1+MAX($A$7:A157),"")</f>
        <v/>
      </c>
      <c r="B158" s="45"/>
      <c r="C158" s="45"/>
      <c r="D158" s="214"/>
      <c r="E158" s="215" t="s">
        <v>52</v>
      </c>
      <c r="F158" s="216"/>
      <c r="G158" s="217"/>
      <c r="H158" s="218">
        <f>ROUNDUP((H155)/200,0)</f>
        <v>9</v>
      </c>
      <c r="I158" s="34" t="s">
        <v>53</v>
      </c>
      <c r="J158" s="204"/>
      <c r="K158" s="205"/>
      <c r="L158" s="206"/>
    </row>
    <row r="159" spans="1:12" s="187" customFormat="1" x14ac:dyDescent="0.2">
      <c r="A159" s="111" t="str">
        <f>IF(F159&lt;&gt;"",1+MAX($A$7:A158),"")</f>
        <v/>
      </c>
      <c r="B159" s="45"/>
      <c r="C159" s="45"/>
      <c r="D159" s="214"/>
      <c r="E159" s="215" t="s">
        <v>54</v>
      </c>
      <c r="F159" s="216"/>
      <c r="G159" s="217"/>
      <c r="H159" s="218">
        <f>ROUNDUP((H155)*5.25/1000,0)</f>
        <v>9</v>
      </c>
      <c r="I159" s="34" t="s">
        <v>55</v>
      </c>
      <c r="J159" s="204"/>
      <c r="K159" s="205"/>
      <c r="L159" s="206"/>
    </row>
    <row r="160" spans="1:12" s="187" customFormat="1" x14ac:dyDescent="0.2">
      <c r="A160" s="111">
        <f>IF(F160&lt;&gt;"",1+MAX($A$7:A159),"")</f>
        <v>65</v>
      </c>
      <c r="B160" s="2" t="s">
        <v>112</v>
      </c>
      <c r="C160" s="2" t="s">
        <v>111</v>
      </c>
      <c r="D160" s="212"/>
      <c r="E160" s="213" t="s">
        <v>108</v>
      </c>
      <c r="F160" s="17">
        <f>20*9.75</f>
        <v>195</v>
      </c>
      <c r="G160" s="127">
        <v>0.1</v>
      </c>
      <c r="H160" s="33">
        <f>F160*(1+G160)</f>
        <v>214.50000000000003</v>
      </c>
      <c r="I160" s="34" t="s">
        <v>18</v>
      </c>
      <c r="J160" s="130">
        <v>0</v>
      </c>
      <c r="K160" s="205">
        <f>J160*H160</f>
        <v>0</v>
      </c>
      <c r="L160" s="206"/>
    </row>
    <row r="161" spans="1:12" s="187" customFormat="1" x14ac:dyDescent="0.2">
      <c r="A161" s="111" t="str">
        <f>IF(F161&lt;&gt;"",1+MAX($A$7:A160),"")</f>
        <v/>
      </c>
      <c r="B161" s="45"/>
      <c r="C161" s="45"/>
      <c r="D161" s="214"/>
      <c r="E161" s="215" t="s">
        <v>48</v>
      </c>
      <c r="F161" s="216"/>
      <c r="G161" s="217"/>
      <c r="H161" s="33">
        <f>ROUNDUP((H160)/32,0)</f>
        <v>7</v>
      </c>
      <c r="I161" s="34" t="s">
        <v>49</v>
      </c>
      <c r="J161" s="204"/>
      <c r="K161" s="205"/>
      <c r="L161" s="206"/>
    </row>
    <row r="162" spans="1:12" s="187" customFormat="1" x14ac:dyDescent="0.2">
      <c r="A162" s="111" t="str">
        <f>IF(F162&lt;&gt;"",1+MAX($A$7:A161),"")</f>
        <v/>
      </c>
      <c r="B162" s="45"/>
      <c r="C162" s="45"/>
      <c r="D162" s="214"/>
      <c r="E162" s="215" t="s">
        <v>50</v>
      </c>
      <c r="F162" s="216"/>
      <c r="G162" s="217"/>
      <c r="H162" s="33">
        <f>ROUNDUP(H161*24/500,0)</f>
        <v>1</v>
      </c>
      <c r="I162" s="34" t="s">
        <v>51</v>
      </c>
      <c r="J162" s="204"/>
      <c r="K162" s="205"/>
      <c r="L162" s="206"/>
    </row>
    <row r="163" spans="1:12" s="187" customFormat="1" x14ac:dyDescent="0.2">
      <c r="A163" s="111" t="str">
        <f>IF(F163&lt;&gt;"",1+MAX($A$7:A162),"")</f>
        <v/>
      </c>
      <c r="B163" s="45"/>
      <c r="C163" s="45"/>
      <c r="D163" s="214"/>
      <c r="E163" s="215" t="s">
        <v>52</v>
      </c>
      <c r="F163" s="216"/>
      <c r="G163" s="217"/>
      <c r="H163" s="218">
        <f>ROUNDUP((H160)/200,0)</f>
        <v>2</v>
      </c>
      <c r="I163" s="34" t="s">
        <v>53</v>
      </c>
      <c r="J163" s="204"/>
      <c r="K163" s="205"/>
      <c r="L163" s="206"/>
    </row>
    <row r="164" spans="1:12" s="187" customFormat="1" x14ac:dyDescent="0.2">
      <c r="A164" s="111" t="str">
        <f>IF(F164&lt;&gt;"",1+MAX($A$7:A163),"")</f>
        <v/>
      </c>
      <c r="B164" s="45"/>
      <c r="C164" s="45"/>
      <c r="D164" s="214"/>
      <c r="E164" s="215" t="s">
        <v>54</v>
      </c>
      <c r="F164" s="216"/>
      <c r="G164" s="217"/>
      <c r="H164" s="218">
        <f>ROUNDUP((H160)*5.25/1000,0)</f>
        <v>2</v>
      </c>
      <c r="I164" s="34" t="s">
        <v>55</v>
      </c>
      <c r="J164" s="204"/>
      <c r="K164" s="205"/>
      <c r="L164" s="206"/>
    </row>
    <row r="165" spans="1:12" s="187" customFormat="1" x14ac:dyDescent="0.2">
      <c r="A165" s="111">
        <f>IF(F165&lt;&gt;"",1+MAX($A$7:A164),"")</f>
        <v>66</v>
      </c>
      <c r="B165" s="2" t="s">
        <v>112</v>
      </c>
      <c r="C165" s="2" t="s">
        <v>111</v>
      </c>
      <c r="D165" s="214"/>
      <c r="E165" s="213" t="s">
        <v>109</v>
      </c>
      <c r="F165" s="17">
        <f>84.6*4</f>
        <v>338.4</v>
      </c>
      <c r="G165" s="127">
        <v>0.1</v>
      </c>
      <c r="H165" s="33">
        <f>F165*(1+G165)</f>
        <v>372.24</v>
      </c>
      <c r="I165" s="34" t="s">
        <v>15</v>
      </c>
      <c r="J165" s="204">
        <f>J$148</f>
        <v>0</v>
      </c>
      <c r="K165" s="205">
        <f>J165*H165</f>
        <v>0</v>
      </c>
      <c r="L165" s="206"/>
    </row>
    <row r="166" spans="1:12" s="187" customFormat="1" x14ac:dyDescent="0.2">
      <c r="A166" s="111" t="str">
        <f>IF(F166&lt;&gt;"",1+MAX($A$7:A165),"")</f>
        <v/>
      </c>
      <c r="B166" s="2"/>
      <c r="C166" s="2"/>
      <c r="D166" s="214"/>
      <c r="E166" s="213"/>
      <c r="F166" s="17"/>
      <c r="G166" s="127"/>
      <c r="H166" s="33"/>
      <c r="I166" s="34"/>
      <c r="J166" s="204"/>
      <c r="K166" s="205"/>
      <c r="L166" s="206"/>
    </row>
    <row r="167" spans="1:12" s="187" customFormat="1" x14ac:dyDescent="0.2">
      <c r="A167" s="111" t="str">
        <f>IF(F167&lt;&gt;"",1+MAX($A$7:A166),"")</f>
        <v/>
      </c>
      <c r="B167" s="207"/>
      <c r="C167" s="207"/>
      <c r="D167" s="201"/>
      <c r="E167" s="208" t="s">
        <v>113</v>
      </c>
      <c r="F167" s="203"/>
      <c r="G167" s="25"/>
      <c r="H167" s="209"/>
      <c r="I167" s="5"/>
      <c r="J167" s="210"/>
      <c r="K167" s="211"/>
      <c r="L167" s="206"/>
    </row>
    <row r="168" spans="1:12" s="187" customFormat="1" x14ac:dyDescent="0.2">
      <c r="A168" s="111">
        <f>IF(F168&lt;&gt;"",1+MAX($A$7:A167),"")</f>
        <v>67</v>
      </c>
      <c r="B168" s="2" t="s">
        <v>112</v>
      </c>
      <c r="C168" s="2" t="s">
        <v>111</v>
      </c>
      <c r="D168" s="212"/>
      <c r="E168" s="213" t="s">
        <v>107</v>
      </c>
      <c r="F168" s="17">
        <f>589*9.75*2+143*9.75+8.3*3.5*2</f>
        <v>12937.85</v>
      </c>
      <c r="G168" s="127">
        <v>0.1</v>
      </c>
      <c r="H168" s="33">
        <f>F168*(1+G168)</f>
        <v>14231.635000000002</v>
      </c>
      <c r="I168" s="34" t="s">
        <v>18</v>
      </c>
      <c r="J168" s="204">
        <f>J$143</f>
        <v>0</v>
      </c>
      <c r="K168" s="205">
        <f>J168*H168</f>
        <v>0</v>
      </c>
      <c r="L168" s="206"/>
    </row>
    <row r="169" spans="1:12" s="187" customFormat="1" x14ac:dyDescent="0.2">
      <c r="A169" s="111" t="str">
        <f>IF(F169&lt;&gt;"",1+MAX($A$7:A168),"")</f>
        <v/>
      </c>
      <c r="B169" s="45"/>
      <c r="C169" s="45"/>
      <c r="D169" s="214"/>
      <c r="E169" s="215" t="s">
        <v>48</v>
      </c>
      <c r="F169" s="216"/>
      <c r="G169" s="217"/>
      <c r="H169" s="33">
        <f>ROUNDUP((H168)/32,0)</f>
        <v>445</v>
      </c>
      <c r="I169" s="34" t="s">
        <v>49</v>
      </c>
      <c r="J169" s="204"/>
      <c r="K169" s="205"/>
      <c r="L169" s="206"/>
    </row>
    <row r="170" spans="1:12" s="187" customFormat="1" x14ac:dyDescent="0.2">
      <c r="A170" s="111" t="str">
        <f>IF(F170&lt;&gt;"",1+MAX($A$7:A169),"")</f>
        <v/>
      </c>
      <c r="B170" s="45"/>
      <c r="C170" s="45"/>
      <c r="D170" s="214"/>
      <c r="E170" s="215" t="s">
        <v>50</v>
      </c>
      <c r="F170" s="216"/>
      <c r="G170" s="217"/>
      <c r="H170" s="33">
        <f>ROUNDUP(H169*24/500,0)</f>
        <v>22</v>
      </c>
      <c r="I170" s="34" t="s">
        <v>51</v>
      </c>
      <c r="J170" s="204"/>
      <c r="K170" s="205"/>
      <c r="L170" s="206"/>
    </row>
    <row r="171" spans="1:12" s="187" customFormat="1" x14ac:dyDescent="0.2">
      <c r="A171" s="111" t="str">
        <f>IF(F171&lt;&gt;"",1+MAX($A$7:A170),"")</f>
        <v/>
      </c>
      <c r="B171" s="45"/>
      <c r="C171" s="45"/>
      <c r="D171" s="214"/>
      <c r="E171" s="215" t="s">
        <v>52</v>
      </c>
      <c r="F171" s="216"/>
      <c r="G171" s="217"/>
      <c r="H171" s="218">
        <f>ROUNDUP((H168)/200,0)</f>
        <v>72</v>
      </c>
      <c r="I171" s="34" t="s">
        <v>53</v>
      </c>
      <c r="J171" s="204"/>
      <c r="K171" s="205"/>
      <c r="L171" s="206"/>
    </row>
    <row r="172" spans="1:12" s="187" customFormat="1" x14ac:dyDescent="0.2">
      <c r="A172" s="111" t="str">
        <f>IF(F172&lt;&gt;"",1+MAX($A$7:A171),"")</f>
        <v/>
      </c>
      <c r="B172" s="45"/>
      <c r="C172" s="45"/>
      <c r="D172" s="214"/>
      <c r="E172" s="215" t="s">
        <v>54</v>
      </c>
      <c r="F172" s="216"/>
      <c r="G172" s="217"/>
      <c r="H172" s="218">
        <f>ROUNDUP((H168)*5.25/1000,0)</f>
        <v>75</v>
      </c>
      <c r="I172" s="34" t="s">
        <v>55</v>
      </c>
      <c r="J172" s="204"/>
      <c r="K172" s="205"/>
      <c r="L172" s="206"/>
    </row>
    <row r="173" spans="1:12" s="187" customFormat="1" x14ac:dyDescent="0.2">
      <c r="A173" s="111">
        <f>IF(F173&lt;&gt;"",1+MAX($A$7:A172),"")</f>
        <v>68</v>
      </c>
      <c r="B173" s="2" t="s">
        <v>112</v>
      </c>
      <c r="C173" s="2" t="s">
        <v>111</v>
      </c>
      <c r="D173" s="212"/>
      <c r="E173" s="213" t="s">
        <v>108</v>
      </c>
      <c r="F173" s="17">
        <f>143*9.75</f>
        <v>1394.25</v>
      </c>
      <c r="G173" s="127">
        <v>0.1</v>
      </c>
      <c r="H173" s="33">
        <f>F173*(1+G173)</f>
        <v>1533.6750000000002</v>
      </c>
      <c r="I173" s="34" t="s">
        <v>18</v>
      </c>
      <c r="J173" s="204">
        <f>J$160</f>
        <v>0</v>
      </c>
      <c r="K173" s="205">
        <f>J173*H173</f>
        <v>0</v>
      </c>
      <c r="L173" s="206"/>
    </row>
    <row r="174" spans="1:12" s="187" customFormat="1" x14ac:dyDescent="0.2">
      <c r="A174" s="111" t="str">
        <f>IF(F174&lt;&gt;"",1+MAX($A$7:A173),"")</f>
        <v/>
      </c>
      <c r="B174" s="45"/>
      <c r="C174" s="45"/>
      <c r="D174" s="214"/>
      <c r="E174" s="215" t="s">
        <v>48</v>
      </c>
      <c r="F174" s="216"/>
      <c r="G174" s="217"/>
      <c r="H174" s="33">
        <f>ROUNDUP((H173)/32,0)</f>
        <v>48</v>
      </c>
      <c r="I174" s="34" t="s">
        <v>49</v>
      </c>
      <c r="J174" s="204"/>
      <c r="K174" s="205"/>
      <c r="L174" s="206"/>
    </row>
    <row r="175" spans="1:12" s="187" customFormat="1" x14ac:dyDescent="0.2">
      <c r="A175" s="111" t="str">
        <f>IF(F175&lt;&gt;"",1+MAX($A$7:A174),"")</f>
        <v/>
      </c>
      <c r="B175" s="45"/>
      <c r="C175" s="45"/>
      <c r="D175" s="214"/>
      <c r="E175" s="215" t="s">
        <v>50</v>
      </c>
      <c r="F175" s="216"/>
      <c r="G175" s="217"/>
      <c r="H175" s="33">
        <f>ROUNDUP(H174*24/500,0)</f>
        <v>3</v>
      </c>
      <c r="I175" s="34" t="s">
        <v>51</v>
      </c>
      <c r="J175" s="204"/>
      <c r="K175" s="205"/>
      <c r="L175" s="206"/>
    </row>
    <row r="176" spans="1:12" s="187" customFormat="1" x14ac:dyDescent="0.2">
      <c r="A176" s="111" t="str">
        <f>IF(F176&lt;&gt;"",1+MAX($A$7:A175),"")</f>
        <v/>
      </c>
      <c r="B176" s="45"/>
      <c r="C176" s="45"/>
      <c r="D176" s="214"/>
      <c r="E176" s="215" t="s">
        <v>52</v>
      </c>
      <c r="F176" s="216"/>
      <c r="G176" s="217"/>
      <c r="H176" s="218">
        <f>ROUNDUP((H173)/200,0)</f>
        <v>8</v>
      </c>
      <c r="I176" s="34" t="s">
        <v>53</v>
      </c>
      <c r="J176" s="204"/>
      <c r="K176" s="205"/>
      <c r="L176" s="206"/>
    </row>
    <row r="177" spans="1:12" s="187" customFormat="1" x14ac:dyDescent="0.2">
      <c r="A177" s="111" t="str">
        <f>IF(F177&lt;&gt;"",1+MAX($A$7:A176),"")</f>
        <v/>
      </c>
      <c r="B177" s="45"/>
      <c r="C177" s="45"/>
      <c r="D177" s="214"/>
      <c r="E177" s="215" t="s">
        <v>54</v>
      </c>
      <c r="F177" s="216"/>
      <c r="G177" s="217"/>
      <c r="H177" s="218">
        <f>ROUNDUP((H173)*5.25/1000,0)</f>
        <v>9</v>
      </c>
      <c r="I177" s="34" t="s">
        <v>55</v>
      </c>
      <c r="J177" s="204"/>
      <c r="K177" s="205"/>
      <c r="L177" s="206"/>
    </row>
    <row r="178" spans="1:12" s="187" customFormat="1" x14ac:dyDescent="0.2">
      <c r="A178" s="111">
        <f>IF(F178&lt;&gt;"",1+MAX($A$7:A177),"")</f>
        <v>69</v>
      </c>
      <c r="B178" s="2" t="s">
        <v>112</v>
      </c>
      <c r="C178" s="2" t="s">
        <v>111</v>
      </c>
      <c r="D178" s="214"/>
      <c r="E178" s="213" t="s">
        <v>109</v>
      </c>
      <c r="F178" s="17">
        <f>732*4+8.3*4</f>
        <v>2961.2</v>
      </c>
      <c r="G178" s="127">
        <v>0.1</v>
      </c>
      <c r="H178" s="33">
        <f>F178*(1+G178)</f>
        <v>3257.32</v>
      </c>
      <c r="I178" s="34" t="s">
        <v>15</v>
      </c>
      <c r="J178" s="204">
        <f>J$148</f>
        <v>0</v>
      </c>
      <c r="K178" s="205">
        <f>J178*H178</f>
        <v>0</v>
      </c>
      <c r="L178" s="206"/>
    </row>
    <row r="179" spans="1:12" s="187" customFormat="1" x14ac:dyDescent="0.2">
      <c r="A179" s="111" t="str">
        <f>IF(F179&lt;&gt;"",1+MAX($A$7:A178),"")</f>
        <v/>
      </c>
      <c r="B179" s="2"/>
      <c r="C179" s="2"/>
      <c r="D179" s="214"/>
      <c r="E179" s="213"/>
      <c r="F179" s="17"/>
      <c r="G179" s="127"/>
      <c r="H179" s="33"/>
      <c r="I179" s="34"/>
      <c r="J179" s="204"/>
      <c r="K179" s="205"/>
      <c r="L179" s="206"/>
    </row>
    <row r="180" spans="1:12" s="187" customFormat="1" x14ac:dyDescent="0.2">
      <c r="A180" s="111" t="str">
        <f>IF(F180&lt;&gt;"",1+MAX($A$7:A179),"")</f>
        <v/>
      </c>
      <c r="B180" s="207"/>
      <c r="C180" s="207"/>
      <c r="D180" s="201"/>
      <c r="E180" s="208" t="s">
        <v>117</v>
      </c>
      <c r="F180" s="203"/>
      <c r="G180" s="25"/>
      <c r="H180" s="209"/>
      <c r="I180" s="5"/>
      <c r="J180" s="210"/>
      <c r="K180" s="211"/>
      <c r="L180" s="206"/>
    </row>
    <row r="181" spans="1:12" s="187" customFormat="1" ht="31.5" x14ac:dyDescent="0.2">
      <c r="A181" s="111">
        <f>IF(F181&lt;&gt;"",1+MAX($A$7:A180),"")</f>
        <v>70</v>
      </c>
      <c r="B181" s="2" t="s">
        <v>112</v>
      </c>
      <c r="C181" s="2" t="s">
        <v>111</v>
      </c>
      <c r="D181" s="212"/>
      <c r="E181" s="213" t="s">
        <v>72</v>
      </c>
      <c r="F181" s="17">
        <f>17.2*9.75*2*2</f>
        <v>670.8</v>
      </c>
      <c r="G181" s="127">
        <v>0.1</v>
      </c>
      <c r="H181" s="33">
        <f>F181*(1+G181)</f>
        <v>737.88</v>
      </c>
      <c r="I181" s="34" t="s">
        <v>18</v>
      </c>
      <c r="J181" s="204">
        <f>J$143</f>
        <v>0</v>
      </c>
      <c r="K181" s="205">
        <f>J181*H181</f>
        <v>0</v>
      </c>
      <c r="L181" s="206"/>
    </row>
    <row r="182" spans="1:12" s="187" customFormat="1" x14ac:dyDescent="0.2">
      <c r="A182" s="111" t="str">
        <f>IF(F182&lt;&gt;"",1+MAX($A$7:A181),"")</f>
        <v/>
      </c>
      <c r="B182" s="45"/>
      <c r="C182" s="45"/>
      <c r="D182" s="214"/>
      <c r="E182" s="215" t="s">
        <v>48</v>
      </c>
      <c r="F182" s="216"/>
      <c r="G182" s="217"/>
      <c r="H182" s="33">
        <f>ROUNDUP((H181)/32,0)</f>
        <v>24</v>
      </c>
      <c r="I182" s="34" t="s">
        <v>49</v>
      </c>
      <c r="J182" s="204"/>
      <c r="K182" s="205"/>
      <c r="L182" s="206"/>
    </row>
    <row r="183" spans="1:12" s="187" customFormat="1" x14ac:dyDescent="0.2">
      <c r="A183" s="111" t="str">
        <f>IF(F183&lt;&gt;"",1+MAX($A$7:A182),"")</f>
        <v/>
      </c>
      <c r="B183" s="45"/>
      <c r="C183" s="45"/>
      <c r="D183" s="214"/>
      <c r="E183" s="215" t="s">
        <v>50</v>
      </c>
      <c r="F183" s="216"/>
      <c r="G183" s="217"/>
      <c r="H183" s="33">
        <f>ROUNDUP(H182*24/500,0)</f>
        <v>2</v>
      </c>
      <c r="I183" s="34" t="s">
        <v>51</v>
      </c>
      <c r="J183" s="204"/>
      <c r="K183" s="205"/>
      <c r="L183" s="206"/>
    </row>
    <row r="184" spans="1:12" s="187" customFormat="1" x14ac:dyDescent="0.2">
      <c r="A184" s="111" t="str">
        <f>IF(F184&lt;&gt;"",1+MAX($A$7:A183),"")</f>
        <v/>
      </c>
      <c r="B184" s="45"/>
      <c r="C184" s="45"/>
      <c r="D184" s="214"/>
      <c r="E184" s="215" t="s">
        <v>52</v>
      </c>
      <c r="F184" s="216"/>
      <c r="G184" s="217"/>
      <c r="H184" s="218">
        <f>ROUNDUP((H181)/200,0)</f>
        <v>4</v>
      </c>
      <c r="I184" s="34" t="s">
        <v>53</v>
      </c>
      <c r="J184" s="204"/>
      <c r="K184" s="205"/>
      <c r="L184" s="206"/>
    </row>
    <row r="185" spans="1:12" s="187" customFormat="1" x14ac:dyDescent="0.2">
      <c r="A185" s="111" t="str">
        <f>IF(F185&lt;&gt;"",1+MAX($A$7:A184),"")</f>
        <v/>
      </c>
      <c r="B185" s="45"/>
      <c r="C185" s="45"/>
      <c r="D185" s="214"/>
      <c r="E185" s="215" t="s">
        <v>54</v>
      </c>
      <c r="F185" s="216"/>
      <c r="G185" s="217"/>
      <c r="H185" s="218">
        <f>ROUNDUP((H181)*5.25/1000,0)</f>
        <v>4</v>
      </c>
      <c r="I185" s="34" t="s">
        <v>55</v>
      </c>
      <c r="J185" s="204"/>
      <c r="K185" s="205"/>
      <c r="L185" s="206"/>
    </row>
    <row r="186" spans="1:12" s="187" customFormat="1" x14ac:dyDescent="0.2">
      <c r="A186" s="111">
        <f>IF(F186&lt;&gt;"",1+MAX($A$7:A185),"")</f>
        <v>71</v>
      </c>
      <c r="B186" s="2" t="s">
        <v>112</v>
      </c>
      <c r="C186" s="2" t="s">
        <v>111</v>
      </c>
      <c r="D186" s="214"/>
      <c r="E186" s="213" t="s">
        <v>109</v>
      </c>
      <c r="F186" s="17">
        <f>17.2*4</f>
        <v>68.8</v>
      </c>
      <c r="G186" s="127">
        <v>0.1</v>
      </c>
      <c r="H186" s="33">
        <f>F186*(1+G186)</f>
        <v>75.680000000000007</v>
      </c>
      <c r="I186" s="34" t="s">
        <v>15</v>
      </c>
      <c r="J186" s="204">
        <f>J$148</f>
        <v>0</v>
      </c>
      <c r="K186" s="205">
        <f>J186*H186</f>
        <v>0</v>
      </c>
      <c r="L186" s="206"/>
    </row>
    <row r="187" spans="1:12" s="187" customFormat="1" x14ac:dyDescent="0.2">
      <c r="A187" s="111">
        <f>IF(F187&lt;&gt;"",1+MAX($A$7:A186),"")</f>
        <v>72</v>
      </c>
      <c r="B187" s="2" t="s">
        <v>112</v>
      </c>
      <c r="C187" s="2" t="s">
        <v>111</v>
      </c>
      <c r="D187" s="212"/>
      <c r="E187" s="213" t="s">
        <v>118</v>
      </c>
      <c r="F187" s="17">
        <f>17.2*9.75</f>
        <v>167.7</v>
      </c>
      <c r="G187" s="127">
        <v>0.1</v>
      </c>
      <c r="H187" s="33">
        <f>F187*(1+G187)</f>
        <v>184.47</v>
      </c>
      <c r="I187" s="34" t="s">
        <v>18</v>
      </c>
      <c r="J187" s="130">
        <v>0</v>
      </c>
      <c r="K187" s="205">
        <f>J187*H187</f>
        <v>0</v>
      </c>
      <c r="L187" s="206"/>
    </row>
    <row r="188" spans="1:12" s="187" customFormat="1" x14ac:dyDescent="0.2">
      <c r="A188" s="111" t="str">
        <f>IF(F188&lt;&gt;"",1+MAX($A$7:A187),"")</f>
        <v/>
      </c>
      <c r="B188" s="2"/>
      <c r="C188" s="2"/>
      <c r="D188" s="214"/>
      <c r="E188" s="213"/>
      <c r="F188" s="17"/>
      <c r="G188" s="127"/>
      <c r="H188" s="33"/>
      <c r="I188" s="34"/>
      <c r="J188" s="204"/>
      <c r="K188" s="205"/>
      <c r="L188" s="206"/>
    </row>
    <row r="189" spans="1:12" s="187" customFormat="1" x14ac:dyDescent="0.2">
      <c r="A189" s="111" t="str">
        <f>IF(F189&lt;&gt;"",1+MAX($A$7:A188),"")</f>
        <v/>
      </c>
      <c r="B189" s="207"/>
      <c r="C189" s="207"/>
      <c r="D189" s="201"/>
      <c r="E189" s="208" t="s">
        <v>199</v>
      </c>
      <c r="F189" s="203"/>
      <c r="G189" s="25"/>
      <c r="H189" s="209"/>
      <c r="I189" s="5"/>
      <c r="J189" s="210"/>
      <c r="K189" s="211"/>
      <c r="L189" s="206"/>
    </row>
    <row r="190" spans="1:12" s="187" customFormat="1" x14ac:dyDescent="0.2">
      <c r="A190" s="111">
        <f>IF(F190&lt;&gt;"",1+MAX($A$7:A189),"")</f>
        <v>73</v>
      </c>
      <c r="B190" s="2" t="s">
        <v>112</v>
      </c>
      <c r="C190" s="2" t="s">
        <v>111</v>
      </c>
      <c r="D190" s="212"/>
      <c r="E190" s="213" t="s">
        <v>107</v>
      </c>
      <c r="F190" s="17">
        <f>141.3*9.75*2+53.5*9.75+10.6*9.75</f>
        <v>3380.3250000000003</v>
      </c>
      <c r="G190" s="127">
        <v>0.1</v>
      </c>
      <c r="H190" s="33">
        <f>F190*(1+G190)</f>
        <v>3718.3575000000005</v>
      </c>
      <c r="I190" s="34" t="s">
        <v>18</v>
      </c>
      <c r="J190" s="204">
        <f>J$143</f>
        <v>0</v>
      </c>
      <c r="K190" s="205">
        <f>J190*H190</f>
        <v>0</v>
      </c>
      <c r="L190" s="206"/>
    </row>
    <row r="191" spans="1:12" s="187" customFormat="1" x14ac:dyDescent="0.2">
      <c r="A191" s="111" t="str">
        <f>IF(F191&lt;&gt;"",1+MAX($A$7:A190),"")</f>
        <v/>
      </c>
      <c r="B191" s="45"/>
      <c r="C191" s="45"/>
      <c r="D191" s="214"/>
      <c r="E191" s="215" t="s">
        <v>48</v>
      </c>
      <c r="F191" s="216"/>
      <c r="G191" s="217"/>
      <c r="H191" s="33">
        <f>ROUNDUP((H190)/32,0)</f>
        <v>117</v>
      </c>
      <c r="I191" s="34" t="s">
        <v>49</v>
      </c>
      <c r="J191" s="204"/>
      <c r="K191" s="205"/>
      <c r="L191" s="206"/>
    </row>
    <row r="192" spans="1:12" s="187" customFormat="1" x14ac:dyDescent="0.2">
      <c r="A192" s="111" t="str">
        <f>IF(F192&lt;&gt;"",1+MAX($A$7:A191),"")</f>
        <v/>
      </c>
      <c r="B192" s="45"/>
      <c r="C192" s="45"/>
      <c r="D192" s="214"/>
      <c r="E192" s="215" t="s">
        <v>50</v>
      </c>
      <c r="F192" s="216"/>
      <c r="G192" s="217"/>
      <c r="H192" s="33">
        <f>ROUNDUP(H191*24/500,0)</f>
        <v>6</v>
      </c>
      <c r="I192" s="34" t="s">
        <v>51</v>
      </c>
      <c r="J192" s="204"/>
      <c r="K192" s="205"/>
      <c r="L192" s="206"/>
    </row>
    <row r="193" spans="1:12" s="187" customFormat="1" x14ac:dyDescent="0.2">
      <c r="A193" s="111" t="str">
        <f>IF(F193&lt;&gt;"",1+MAX($A$7:A192),"")</f>
        <v/>
      </c>
      <c r="B193" s="45"/>
      <c r="C193" s="45"/>
      <c r="D193" s="214"/>
      <c r="E193" s="215" t="s">
        <v>52</v>
      </c>
      <c r="F193" s="216"/>
      <c r="G193" s="217"/>
      <c r="H193" s="218">
        <f>ROUNDUP((H190)/200,0)</f>
        <v>19</v>
      </c>
      <c r="I193" s="34" t="s">
        <v>53</v>
      </c>
      <c r="J193" s="204"/>
      <c r="K193" s="205"/>
      <c r="L193" s="206"/>
    </row>
    <row r="194" spans="1:12" s="187" customFormat="1" x14ac:dyDescent="0.2">
      <c r="A194" s="111" t="str">
        <f>IF(F194&lt;&gt;"",1+MAX($A$7:A193),"")</f>
        <v/>
      </c>
      <c r="B194" s="45"/>
      <c r="C194" s="45"/>
      <c r="D194" s="214"/>
      <c r="E194" s="215" t="s">
        <v>54</v>
      </c>
      <c r="F194" s="216"/>
      <c r="G194" s="217"/>
      <c r="H194" s="218">
        <f>ROUNDUP((H190)*5.25/1000,0)</f>
        <v>20</v>
      </c>
      <c r="I194" s="34" t="s">
        <v>55</v>
      </c>
      <c r="J194" s="204"/>
      <c r="K194" s="205"/>
      <c r="L194" s="206"/>
    </row>
    <row r="195" spans="1:12" s="187" customFormat="1" x14ac:dyDescent="0.2">
      <c r="A195" s="111">
        <f>IF(F195&lt;&gt;"",1+MAX($A$7:A194),"")</f>
        <v>74</v>
      </c>
      <c r="B195" s="2" t="s">
        <v>112</v>
      </c>
      <c r="C195" s="2" t="s">
        <v>111</v>
      </c>
      <c r="D195" s="212"/>
      <c r="E195" s="213" t="s">
        <v>108</v>
      </c>
      <c r="F195" s="17">
        <f>53.5*9.75+10.6*9.75</f>
        <v>624.97500000000002</v>
      </c>
      <c r="G195" s="127">
        <v>0.1</v>
      </c>
      <c r="H195" s="33">
        <f>F195*(1+G195)</f>
        <v>687.47250000000008</v>
      </c>
      <c r="I195" s="34" t="s">
        <v>18</v>
      </c>
      <c r="J195" s="204">
        <f>J$160</f>
        <v>0</v>
      </c>
      <c r="K195" s="205">
        <f>J195*H195</f>
        <v>0</v>
      </c>
      <c r="L195" s="206"/>
    </row>
    <row r="196" spans="1:12" s="187" customFormat="1" x14ac:dyDescent="0.2">
      <c r="A196" s="111" t="str">
        <f>IF(F196&lt;&gt;"",1+MAX($A$7:A195),"")</f>
        <v/>
      </c>
      <c r="B196" s="45"/>
      <c r="C196" s="45"/>
      <c r="D196" s="214"/>
      <c r="E196" s="215" t="s">
        <v>48</v>
      </c>
      <c r="F196" s="216"/>
      <c r="G196" s="217"/>
      <c r="H196" s="33">
        <f>ROUNDUP((H195)/32,0)</f>
        <v>22</v>
      </c>
      <c r="I196" s="34" t="s">
        <v>49</v>
      </c>
      <c r="J196" s="204"/>
      <c r="K196" s="205"/>
      <c r="L196" s="206"/>
    </row>
    <row r="197" spans="1:12" s="187" customFormat="1" x14ac:dyDescent="0.2">
      <c r="A197" s="111" t="str">
        <f>IF(F197&lt;&gt;"",1+MAX($A$7:A196),"")</f>
        <v/>
      </c>
      <c r="B197" s="45"/>
      <c r="C197" s="45"/>
      <c r="D197" s="214"/>
      <c r="E197" s="215" t="s">
        <v>50</v>
      </c>
      <c r="F197" s="216"/>
      <c r="G197" s="217"/>
      <c r="H197" s="33">
        <f>ROUNDUP(H196*24/500,0)</f>
        <v>2</v>
      </c>
      <c r="I197" s="34" t="s">
        <v>51</v>
      </c>
      <c r="J197" s="204"/>
      <c r="K197" s="205"/>
      <c r="L197" s="206"/>
    </row>
    <row r="198" spans="1:12" s="187" customFormat="1" x14ac:dyDescent="0.2">
      <c r="A198" s="111" t="str">
        <f>IF(F198&lt;&gt;"",1+MAX($A$7:A197),"")</f>
        <v/>
      </c>
      <c r="B198" s="45"/>
      <c r="C198" s="45"/>
      <c r="D198" s="214"/>
      <c r="E198" s="215" t="s">
        <v>52</v>
      </c>
      <c r="F198" s="216"/>
      <c r="G198" s="217"/>
      <c r="H198" s="218">
        <f>ROUNDUP((H195)/200,0)</f>
        <v>4</v>
      </c>
      <c r="I198" s="34" t="s">
        <v>53</v>
      </c>
      <c r="J198" s="204"/>
      <c r="K198" s="205"/>
      <c r="L198" s="206"/>
    </row>
    <row r="199" spans="1:12" s="187" customFormat="1" x14ac:dyDescent="0.2">
      <c r="A199" s="111" t="str">
        <f>IF(F199&lt;&gt;"",1+MAX($A$7:A198),"")</f>
        <v/>
      </c>
      <c r="B199" s="45"/>
      <c r="C199" s="45"/>
      <c r="D199" s="214"/>
      <c r="E199" s="215" t="s">
        <v>54</v>
      </c>
      <c r="F199" s="216"/>
      <c r="G199" s="217"/>
      <c r="H199" s="218">
        <f>ROUNDUP((H195)*5.25/1000,0)</f>
        <v>4</v>
      </c>
      <c r="I199" s="34" t="s">
        <v>55</v>
      </c>
      <c r="J199" s="204"/>
      <c r="K199" s="205"/>
      <c r="L199" s="206"/>
    </row>
    <row r="200" spans="1:12" s="187" customFormat="1" x14ac:dyDescent="0.2">
      <c r="A200" s="111">
        <f>IF(F200&lt;&gt;"",1+MAX($A$7:A199),"")</f>
        <v>75</v>
      </c>
      <c r="B200" s="2" t="s">
        <v>112</v>
      </c>
      <c r="C200" s="2" t="s">
        <v>111</v>
      </c>
      <c r="D200" s="214"/>
      <c r="E200" s="213" t="s">
        <v>109</v>
      </c>
      <c r="F200" s="17">
        <f>(194.8+10.6)*4</f>
        <v>821.6</v>
      </c>
      <c r="G200" s="127">
        <v>0.1</v>
      </c>
      <c r="H200" s="33">
        <f>F200*(1+G200)</f>
        <v>903.7600000000001</v>
      </c>
      <c r="I200" s="34" t="s">
        <v>15</v>
      </c>
      <c r="J200" s="204">
        <f>J$148</f>
        <v>0</v>
      </c>
      <c r="K200" s="205">
        <f>J200*H200</f>
        <v>0</v>
      </c>
      <c r="L200" s="206"/>
    </row>
    <row r="201" spans="1:12" s="187" customFormat="1" x14ac:dyDescent="0.2">
      <c r="A201" s="111">
        <f>IF(F201&lt;&gt;"",1+MAX($A$7:A200),"")</f>
        <v>76</v>
      </c>
      <c r="B201" s="2" t="s">
        <v>112</v>
      </c>
      <c r="C201" s="2" t="s">
        <v>111</v>
      </c>
      <c r="D201" s="212"/>
      <c r="E201" s="213" t="s">
        <v>118</v>
      </c>
      <c r="F201" s="17">
        <f>(194.8+10.6)*9.75</f>
        <v>2002.65</v>
      </c>
      <c r="G201" s="127">
        <v>0.1</v>
      </c>
      <c r="H201" s="33">
        <f>F201*(1+G201)</f>
        <v>2202.9150000000004</v>
      </c>
      <c r="I201" s="34" t="s">
        <v>18</v>
      </c>
      <c r="J201" s="204">
        <f>J$187</f>
        <v>0</v>
      </c>
      <c r="K201" s="205">
        <f>J201*H201</f>
        <v>0</v>
      </c>
      <c r="L201" s="206"/>
    </row>
    <row r="202" spans="1:12" s="187" customFormat="1" x14ac:dyDescent="0.2">
      <c r="A202" s="111">
        <f>IF(F202&lt;&gt;"",1+MAX($A$7:A201),"")</f>
        <v>77</v>
      </c>
      <c r="B202" s="2" t="s">
        <v>112</v>
      </c>
      <c r="C202" s="2" t="s">
        <v>111</v>
      </c>
      <c r="D202" s="212"/>
      <c r="E202" s="213" t="s">
        <v>123</v>
      </c>
      <c r="F202" s="17">
        <f>(194.8+10.6)*9.75</f>
        <v>2002.65</v>
      </c>
      <c r="G202" s="127">
        <v>0.1</v>
      </c>
      <c r="H202" s="33">
        <f>F202*(1+G202)</f>
        <v>2202.9150000000004</v>
      </c>
      <c r="I202" s="34" t="s">
        <v>18</v>
      </c>
      <c r="J202" s="130">
        <v>0</v>
      </c>
      <c r="K202" s="205">
        <f>J202*H202</f>
        <v>0</v>
      </c>
      <c r="L202" s="206"/>
    </row>
    <row r="203" spans="1:12" s="187" customFormat="1" x14ac:dyDescent="0.2">
      <c r="A203" s="111" t="str">
        <f>IF(F203&lt;&gt;"",1+MAX($A$7:A202),"")</f>
        <v/>
      </c>
      <c r="B203" s="2"/>
      <c r="C203" s="2"/>
      <c r="D203" s="214"/>
      <c r="E203" s="213"/>
      <c r="F203" s="17"/>
      <c r="G203" s="127"/>
      <c r="H203" s="33"/>
      <c r="I203" s="34"/>
      <c r="J203" s="204"/>
      <c r="K203" s="205"/>
      <c r="L203" s="206"/>
    </row>
    <row r="204" spans="1:12" s="187" customFormat="1" x14ac:dyDescent="0.2">
      <c r="A204" s="111" t="str">
        <f>IF(F204&lt;&gt;"",1+MAX($A$7:A203),"")</f>
        <v/>
      </c>
      <c r="B204" s="207"/>
      <c r="C204" s="207"/>
      <c r="D204" s="201"/>
      <c r="E204" s="208" t="s">
        <v>200</v>
      </c>
      <c r="F204" s="203"/>
      <c r="G204" s="25"/>
      <c r="H204" s="209"/>
      <c r="I204" s="5"/>
      <c r="J204" s="210"/>
      <c r="K204" s="211"/>
      <c r="L204" s="206"/>
    </row>
    <row r="205" spans="1:12" s="187" customFormat="1" x14ac:dyDescent="0.2">
      <c r="A205" s="111">
        <f>IF(F205&lt;&gt;"",1+MAX($A$7:A204),"")</f>
        <v>78</v>
      </c>
      <c r="B205" s="2" t="s">
        <v>112</v>
      </c>
      <c r="C205" s="2" t="s">
        <v>111</v>
      </c>
      <c r="D205" s="212"/>
      <c r="E205" s="213" t="s">
        <v>107</v>
      </c>
      <c r="F205" s="17">
        <f>165.6*9.75*2</f>
        <v>3229.2</v>
      </c>
      <c r="G205" s="127">
        <v>0.1</v>
      </c>
      <c r="H205" s="33">
        <f>F205*(1+G205)</f>
        <v>3552.12</v>
      </c>
      <c r="I205" s="34" t="s">
        <v>18</v>
      </c>
      <c r="J205" s="204">
        <f>J$143</f>
        <v>0</v>
      </c>
      <c r="K205" s="205">
        <f>J205*H205</f>
        <v>0</v>
      </c>
      <c r="L205" s="206"/>
    </row>
    <row r="206" spans="1:12" s="187" customFormat="1" x14ac:dyDescent="0.2">
      <c r="A206" s="111" t="str">
        <f>IF(F206&lt;&gt;"",1+MAX($A$7:A205),"")</f>
        <v/>
      </c>
      <c r="B206" s="45"/>
      <c r="C206" s="45"/>
      <c r="D206" s="214"/>
      <c r="E206" s="215" t="s">
        <v>48</v>
      </c>
      <c r="F206" s="216"/>
      <c r="G206" s="217"/>
      <c r="H206" s="33">
        <f>ROUNDUP((H205)/32,0)</f>
        <v>112</v>
      </c>
      <c r="I206" s="34" t="s">
        <v>49</v>
      </c>
      <c r="J206" s="204"/>
      <c r="K206" s="205"/>
      <c r="L206" s="206"/>
    </row>
    <row r="207" spans="1:12" s="187" customFormat="1" x14ac:dyDescent="0.2">
      <c r="A207" s="111" t="str">
        <f>IF(F207&lt;&gt;"",1+MAX($A$7:A206),"")</f>
        <v/>
      </c>
      <c r="B207" s="45"/>
      <c r="C207" s="45"/>
      <c r="D207" s="214"/>
      <c r="E207" s="215" t="s">
        <v>50</v>
      </c>
      <c r="F207" s="216"/>
      <c r="G207" s="217"/>
      <c r="H207" s="33">
        <f>ROUNDUP(H206*24/500,0)</f>
        <v>6</v>
      </c>
      <c r="I207" s="34" t="s">
        <v>51</v>
      </c>
      <c r="J207" s="204"/>
      <c r="K207" s="205"/>
      <c r="L207" s="206"/>
    </row>
    <row r="208" spans="1:12" s="187" customFormat="1" x14ac:dyDescent="0.2">
      <c r="A208" s="111" t="str">
        <f>IF(F208&lt;&gt;"",1+MAX($A$7:A207),"")</f>
        <v/>
      </c>
      <c r="B208" s="45"/>
      <c r="C208" s="45"/>
      <c r="D208" s="214"/>
      <c r="E208" s="215" t="s">
        <v>52</v>
      </c>
      <c r="F208" s="216"/>
      <c r="G208" s="217"/>
      <c r="H208" s="218">
        <f>ROUNDUP((H205)/200,0)</f>
        <v>18</v>
      </c>
      <c r="I208" s="34" t="s">
        <v>53</v>
      </c>
      <c r="J208" s="204"/>
      <c r="K208" s="205"/>
      <c r="L208" s="206"/>
    </row>
    <row r="209" spans="1:12" s="187" customFormat="1" x14ac:dyDescent="0.2">
      <c r="A209" s="111" t="str">
        <f>IF(F209&lt;&gt;"",1+MAX($A$7:A208),"")</f>
        <v/>
      </c>
      <c r="B209" s="45"/>
      <c r="C209" s="45"/>
      <c r="D209" s="214"/>
      <c r="E209" s="215" t="s">
        <v>54</v>
      </c>
      <c r="F209" s="216"/>
      <c r="G209" s="217"/>
      <c r="H209" s="218">
        <f>ROUNDUP((H205)*5.25/1000,0)</f>
        <v>19</v>
      </c>
      <c r="I209" s="34" t="s">
        <v>55</v>
      </c>
      <c r="J209" s="204"/>
      <c r="K209" s="205"/>
      <c r="L209" s="206"/>
    </row>
    <row r="210" spans="1:12" s="187" customFormat="1" x14ac:dyDescent="0.2">
      <c r="A210" s="111">
        <f>IF(F210&lt;&gt;"",1+MAX($A$7:A209),"")</f>
        <v>79</v>
      </c>
      <c r="B210" s="2" t="s">
        <v>112</v>
      </c>
      <c r="C210" s="2" t="s">
        <v>111</v>
      </c>
      <c r="D210" s="214"/>
      <c r="E210" s="213" t="s">
        <v>109</v>
      </c>
      <c r="F210" s="17">
        <f>165.6*4</f>
        <v>662.4</v>
      </c>
      <c r="G210" s="127">
        <v>0.1</v>
      </c>
      <c r="H210" s="33">
        <f>F210*(1+G210)</f>
        <v>728.64</v>
      </c>
      <c r="I210" s="34" t="s">
        <v>15</v>
      </c>
      <c r="J210" s="204">
        <f>J$148</f>
        <v>0</v>
      </c>
      <c r="K210" s="205">
        <f>J210*H210</f>
        <v>0</v>
      </c>
      <c r="L210" s="206"/>
    </row>
    <row r="211" spans="1:12" s="187" customFormat="1" x14ac:dyDescent="0.2">
      <c r="A211" s="111">
        <f>IF(F211&lt;&gt;"",1+MAX($A$7:A210),"")</f>
        <v>80</v>
      </c>
      <c r="B211" s="2" t="s">
        <v>112</v>
      </c>
      <c r="C211" s="2" t="s">
        <v>111</v>
      </c>
      <c r="D211" s="212"/>
      <c r="E211" s="213" t="s">
        <v>118</v>
      </c>
      <c r="F211" s="17">
        <f>165.6*9.75</f>
        <v>1614.6</v>
      </c>
      <c r="G211" s="127">
        <v>0.1</v>
      </c>
      <c r="H211" s="33">
        <f>F211*(1+G211)</f>
        <v>1776.06</v>
      </c>
      <c r="I211" s="34" t="s">
        <v>18</v>
      </c>
      <c r="J211" s="204">
        <f>J$187</f>
        <v>0</v>
      </c>
      <c r="K211" s="205">
        <f>J211*H211</f>
        <v>0</v>
      </c>
      <c r="L211" s="206"/>
    </row>
    <row r="212" spans="1:12" s="187" customFormat="1" x14ac:dyDescent="0.2">
      <c r="A212" s="111">
        <f>IF(F212&lt;&gt;"",1+MAX($A$7:A211),"")</f>
        <v>81</v>
      </c>
      <c r="B212" s="2" t="s">
        <v>112</v>
      </c>
      <c r="C212" s="2" t="s">
        <v>111</v>
      </c>
      <c r="D212" s="212"/>
      <c r="E212" s="213" t="s">
        <v>123</v>
      </c>
      <c r="F212" s="17">
        <f>165.6*9.75</f>
        <v>1614.6</v>
      </c>
      <c r="G212" s="127">
        <v>0.1</v>
      </c>
      <c r="H212" s="33">
        <f>F212*(1+G212)</f>
        <v>1776.06</v>
      </c>
      <c r="I212" s="34" t="s">
        <v>18</v>
      </c>
      <c r="J212" s="204">
        <f>J$202</f>
        <v>0</v>
      </c>
      <c r="K212" s="205">
        <f>J212*H212</f>
        <v>0</v>
      </c>
      <c r="L212" s="206"/>
    </row>
    <row r="213" spans="1:12" s="187" customFormat="1" x14ac:dyDescent="0.2">
      <c r="A213" s="111" t="str">
        <f>IF(F213&lt;&gt;"",1+MAX($A$7:A212),"")</f>
        <v/>
      </c>
      <c r="B213" s="2"/>
      <c r="C213" s="2"/>
      <c r="D213" s="214"/>
      <c r="E213" s="213"/>
      <c r="F213" s="17"/>
      <c r="G213" s="127"/>
      <c r="H213" s="33"/>
      <c r="I213" s="34"/>
      <c r="J213" s="204"/>
      <c r="K213" s="205"/>
      <c r="L213" s="206"/>
    </row>
    <row r="214" spans="1:12" s="187" customFormat="1" x14ac:dyDescent="0.2">
      <c r="A214" s="111" t="str">
        <f>IF(F214&lt;&gt;"",1+MAX($A$7:A213),"")</f>
        <v/>
      </c>
      <c r="B214" s="207"/>
      <c r="C214" s="207"/>
      <c r="D214" s="201"/>
      <c r="E214" s="208" t="s">
        <v>201</v>
      </c>
      <c r="F214" s="203"/>
      <c r="G214" s="25"/>
      <c r="H214" s="209"/>
      <c r="I214" s="5"/>
      <c r="J214" s="210"/>
      <c r="K214" s="211"/>
      <c r="L214" s="206"/>
    </row>
    <row r="215" spans="1:12" s="187" customFormat="1" x14ac:dyDescent="0.2">
      <c r="A215" s="111">
        <f>IF(F215&lt;&gt;"",1+MAX($A$7:A214),"")</f>
        <v>82</v>
      </c>
      <c r="B215" s="2" t="s">
        <v>112</v>
      </c>
      <c r="C215" s="2" t="s">
        <v>111</v>
      </c>
      <c r="D215" s="212"/>
      <c r="E215" s="213" t="s">
        <v>107</v>
      </c>
      <c r="F215" s="17">
        <f>25*9.75</f>
        <v>243.75</v>
      </c>
      <c r="G215" s="127">
        <v>0.1</v>
      </c>
      <c r="H215" s="33">
        <f>F215*(1+G215)</f>
        <v>268.125</v>
      </c>
      <c r="I215" s="34" t="s">
        <v>18</v>
      </c>
      <c r="J215" s="204">
        <f>J$143</f>
        <v>0</v>
      </c>
      <c r="K215" s="205">
        <f>J215*H215</f>
        <v>0</v>
      </c>
      <c r="L215" s="206"/>
    </row>
    <row r="216" spans="1:12" s="187" customFormat="1" x14ac:dyDescent="0.2">
      <c r="A216" s="111" t="str">
        <f>IF(F216&lt;&gt;"",1+MAX($A$7:A215),"")</f>
        <v/>
      </c>
      <c r="B216" s="45"/>
      <c r="C216" s="45"/>
      <c r="D216" s="214"/>
      <c r="E216" s="215" t="s">
        <v>48</v>
      </c>
      <c r="F216" s="216"/>
      <c r="G216" s="217"/>
      <c r="H216" s="33">
        <f>ROUNDUP((H215)/32,0)</f>
        <v>9</v>
      </c>
      <c r="I216" s="34" t="s">
        <v>49</v>
      </c>
      <c r="J216" s="204"/>
      <c r="K216" s="205"/>
      <c r="L216" s="206"/>
    </row>
    <row r="217" spans="1:12" s="187" customFormat="1" x14ac:dyDescent="0.2">
      <c r="A217" s="111" t="str">
        <f>IF(F217&lt;&gt;"",1+MAX($A$7:A216),"")</f>
        <v/>
      </c>
      <c r="B217" s="45"/>
      <c r="C217" s="45"/>
      <c r="D217" s="214"/>
      <c r="E217" s="215" t="s">
        <v>50</v>
      </c>
      <c r="F217" s="216"/>
      <c r="G217" s="217"/>
      <c r="H217" s="33">
        <f>ROUNDUP(H216*24/500,0)</f>
        <v>1</v>
      </c>
      <c r="I217" s="34" t="s">
        <v>51</v>
      </c>
      <c r="J217" s="204"/>
      <c r="K217" s="205"/>
      <c r="L217" s="206"/>
    </row>
    <row r="218" spans="1:12" s="187" customFormat="1" x14ac:dyDescent="0.2">
      <c r="A218" s="111" t="str">
        <f>IF(F218&lt;&gt;"",1+MAX($A$7:A217),"")</f>
        <v/>
      </c>
      <c r="B218" s="45"/>
      <c r="C218" s="45"/>
      <c r="D218" s="214"/>
      <c r="E218" s="215" t="s">
        <v>52</v>
      </c>
      <c r="F218" s="216"/>
      <c r="G218" s="217"/>
      <c r="H218" s="218">
        <f>ROUNDUP((H215)/200,0)</f>
        <v>2</v>
      </c>
      <c r="I218" s="34" t="s">
        <v>53</v>
      </c>
      <c r="J218" s="204"/>
      <c r="K218" s="205"/>
      <c r="L218" s="206"/>
    </row>
    <row r="219" spans="1:12" s="187" customFormat="1" x14ac:dyDescent="0.2">
      <c r="A219" s="111" t="str">
        <f>IF(F219&lt;&gt;"",1+MAX($A$7:A218),"")</f>
        <v/>
      </c>
      <c r="B219" s="45"/>
      <c r="C219" s="45"/>
      <c r="D219" s="214"/>
      <c r="E219" s="215" t="s">
        <v>54</v>
      </c>
      <c r="F219" s="216"/>
      <c r="G219" s="217"/>
      <c r="H219" s="218">
        <f>ROUNDUP((H215)*5.25/1000,0)</f>
        <v>2</v>
      </c>
      <c r="I219" s="34" t="s">
        <v>55</v>
      </c>
      <c r="J219" s="204"/>
      <c r="K219" s="205"/>
      <c r="L219" s="206"/>
    </row>
    <row r="220" spans="1:12" s="187" customFormat="1" x14ac:dyDescent="0.2">
      <c r="A220" s="111">
        <f>IF(F220&lt;&gt;"",1+MAX($A$7:A219),"")</f>
        <v>83</v>
      </c>
      <c r="B220" s="2" t="s">
        <v>112</v>
      </c>
      <c r="C220" s="2" t="s">
        <v>111</v>
      </c>
      <c r="D220" s="212"/>
      <c r="E220" s="213" t="s">
        <v>108</v>
      </c>
      <c r="F220" s="17">
        <f>25*9.75</f>
        <v>243.75</v>
      </c>
      <c r="G220" s="127">
        <v>0.1</v>
      </c>
      <c r="H220" s="33">
        <f>F220*(1+G220)</f>
        <v>268.125</v>
      </c>
      <c r="I220" s="34" t="s">
        <v>18</v>
      </c>
      <c r="J220" s="204">
        <f>J$160</f>
        <v>0</v>
      </c>
      <c r="K220" s="205">
        <f>J220*H220</f>
        <v>0</v>
      </c>
      <c r="L220" s="206"/>
    </row>
    <row r="221" spans="1:12" s="187" customFormat="1" x14ac:dyDescent="0.2">
      <c r="A221" s="111" t="str">
        <f>IF(F221&lt;&gt;"",1+MAX($A$7:A220),"")</f>
        <v/>
      </c>
      <c r="B221" s="45"/>
      <c r="C221" s="45"/>
      <c r="D221" s="214"/>
      <c r="E221" s="215" t="s">
        <v>48</v>
      </c>
      <c r="F221" s="216"/>
      <c r="G221" s="217"/>
      <c r="H221" s="33">
        <f>ROUNDUP((H220)/32,0)</f>
        <v>9</v>
      </c>
      <c r="I221" s="34" t="s">
        <v>49</v>
      </c>
      <c r="J221" s="204"/>
      <c r="K221" s="205"/>
      <c r="L221" s="206"/>
    </row>
    <row r="222" spans="1:12" s="187" customFormat="1" x14ac:dyDescent="0.2">
      <c r="A222" s="111" t="str">
        <f>IF(F222&lt;&gt;"",1+MAX($A$7:A221),"")</f>
        <v/>
      </c>
      <c r="B222" s="45"/>
      <c r="C222" s="45"/>
      <c r="D222" s="214"/>
      <c r="E222" s="215" t="s">
        <v>50</v>
      </c>
      <c r="F222" s="216"/>
      <c r="G222" s="217"/>
      <c r="H222" s="33">
        <f>ROUNDUP(H221*24/500,0)</f>
        <v>1</v>
      </c>
      <c r="I222" s="34" t="s">
        <v>51</v>
      </c>
      <c r="J222" s="204"/>
      <c r="K222" s="205"/>
      <c r="L222" s="206"/>
    </row>
    <row r="223" spans="1:12" s="187" customFormat="1" x14ac:dyDescent="0.2">
      <c r="A223" s="111" t="str">
        <f>IF(F223&lt;&gt;"",1+MAX($A$7:A222),"")</f>
        <v/>
      </c>
      <c r="B223" s="45"/>
      <c r="C223" s="45"/>
      <c r="D223" s="214"/>
      <c r="E223" s="215" t="s">
        <v>52</v>
      </c>
      <c r="F223" s="216"/>
      <c r="G223" s="217"/>
      <c r="H223" s="218">
        <f>ROUNDUP((H220)/200,0)</f>
        <v>2</v>
      </c>
      <c r="I223" s="34" t="s">
        <v>53</v>
      </c>
      <c r="J223" s="204"/>
      <c r="K223" s="205"/>
      <c r="L223" s="206"/>
    </row>
    <row r="224" spans="1:12" s="187" customFormat="1" x14ac:dyDescent="0.2">
      <c r="A224" s="111" t="str">
        <f>IF(F224&lt;&gt;"",1+MAX($A$7:A223),"")</f>
        <v/>
      </c>
      <c r="B224" s="45"/>
      <c r="C224" s="45"/>
      <c r="D224" s="214"/>
      <c r="E224" s="215" t="s">
        <v>54</v>
      </c>
      <c r="F224" s="216"/>
      <c r="G224" s="217"/>
      <c r="H224" s="218">
        <f>ROUNDUP((H220)*5.25/1000,0)</f>
        <v>2</v>
      </c>
      <c r="I224" s="34" t="s">
        <v>55</v>
      </c>
      <c r="J224" s="204"/>
      <c r="K224" s="205"/>
      <c r="L224" s="206"/>
    </row>
    <row r="225" spans="1:12" s="187" customFormat="1" x14ac:dyDescent="0.2">
      <c r="A225" s="111">
        <f>IF(F225&lt;&gt;"",1+MAX($A$7:A224),"")</f>
        <v>84</v>
      </c>
      <c r="B225" s="2" t="s">
        <v>112</v>
      </c>
      <c r="C225" s="2" t="s">
        <v>111</v>
      </c>
      <c r="D225" s="214"/>
      <c r="E225" s="213" t="s">
        <v>109</v>
      </c>
      <c r="F225" s="17">
        <f>25*4</f>
        <v>100</v>
      </c>
      <c r="G225" s="127">
        <v>0.1</v>
      </c>
      <c r="H225" s="33">
        <f>F225*(1+G225)</f>
        <v>110.00000000000001</v>
      </c>
      <c r="I225" s="34" t="s">
        <v>15</v>
      </c>
      <c r="J225" s="204">
        <f>J$148</f>
        <v>0</v>
      </c>
      <c r="K225" s="205">
        <f>J225*H225</f>
        <v>0</v>
      </c>
      <c r="L225" s="206"/>
    </row>
    <row r="226" spans="1:12" s="187" customFormat="1" x14ac:dyDescent="0.2">
      <c r="A226" s="111">
        <f>IF(F226&lt;&gt;"",1+MAX($A$7:A225),"")</f>
        <v>85</v>
      </c>
      <c r="B226" s="2" t="s">
        <v>112</v>
      </c>
      <c r="C226" s="2" t="s">
        <v>111</v>
      </c>
      <c r="D226" s="212"/>
      <c r="E226" s="213" t="s">
        <v>119</v>
      </c>
      <c r="F226" s="17">
        <f t="shared" ref="F226:F227" si="70">25*9.75</f>
        <v>243.75</v>
      </c>
      <c r="G226" s="127">
        <v>0.1</v>
      </c>
      <c r="H226" s="33">
        <f>F226*(1+G226)</f>
        <v>268.125</v>
      </c>
      <c r="I226" s="34" t="s">
        <v>18</v>
      </c>
      <c r="J226" s="130">
        <v>0</v>
      </c>
      <c r="K226" s="205">
        <f>J226*H226</f>
        <v>0</v>
      </c>
      <c r="L226" s="206"/>
    </row>
    <row r="227" spans="1:12" s="187" customFormat="1" x14ac:dyDescent="0.2">
      <c r="A227" s="111">
        <f>IF(F227&lt;&gt;"",1+MAX($A$7:A226),"")</f>
        <v>86</v>
      </c>
      <c r="B227" s="2" t="s">
        <v>112</v>
      </c>
      <c r="C227" s="2" t="s">
        <v>111</v>
      </c>
      <c r="D227" s="212"/>
      <c r="E227" s="213" t="s">
        <v>123</v>
      </c>
      <c r="F227" s="17">
        <f t="shared" si="70"/>
        <v>243.75</v>
      </c>
      <c r="G227" s="127">
        <v>0.1</v>
      </c>
      <c r="H227" s="33">
        <f>F227*(1+G227)</f>
        <v>268.125</v>
      </c>
      <c r="I227" s="34" t="s">
        <v>18</v>
      </c>
      <c r="J227" s="204">
        <f>J$202</f>
        <v>0</v>
      </c>
      <c r="K227" s="205">
        <f>J227*H227</f>
        <v>0</v>
      </c>
      <c r="L227" s="206"/>
    </row>
    <row r="228" spans="1:12" s="187" customFormat="1" x14ac:dyDescent="0.2">
      <c r="A228" s="111" t="str">
        <f>IF(F228&lt;&gt;"",1+MAX($A$7:A227),"")</f>
        <v/>
      </c>
      <c r="B228" s="2"/>
      <c r="C228" s="2"/>
      <c r="D228" s="214"/>
      <c r="E228" s="213"/>
      <c r="F228" s="17"/>
      <c r="G228" s="127"/>
      <c r="H228" s="33"/>
      <c r="I228" s="34"/>
      <c r="J228" s="204"/>
      <c r="K228" s="205"/>
      <c r="L228" s="206"/>
    </row>
    <row r="229" spans="1:12" s="187" customFormat="1" x14ac:dyDescent="0.2">
      <c r="A229" s="111" t="str">
        <f>IF(F229&lt;&gt;"",1+MAX($A$7:A228),"")</f>
        <v/>
      </c>
      <c r="B229" s="207"/>
      <c r="C229" s="207"/>
      <c r="D229" s="201"/>
      <c r="E229" s="208" t="s">
        <v>202</v>
      </c>
      <c r="F229" s="203"/>
      <c r="G229" s="25"/>
      <c r="H229" s="209"/>
      <c r="I229" s="5"/>
      <c r="J229" s="210"/>
      <c r="K229" s="211"/>
      <c r="L229" s="206"/>
    </row>
    <row r="230" spans="1:12" s="187" customFormat="1" ht="31.5" x14ac:dyDescent="0.2">
      <c r="A230" s="111">
        <f>IF(F230&lt;&gt;"",1+MAX($A$7:A229),"")</f>
        <v>87</v>
      </c>
      <c r="B230" s="2" t="s">
        <v>112</v>
      </c>
      <c r="C230" s="2" t="s">
        <v>111</v>
      </c>
      <c r="D230" s="212"/>
      <c r="E230" s="213" t="s">
        <v>204</v>
      </c>
      <c r="F230" s="17">
        <f>15.9*9.75*2</f>
        <v>310.05</v>
      </c>
      <c r="G230" s="127">
        <v>0.1</v>
      </c>
      <c r="H230" s="33">
        <f>F230*(1+G230)</f>
        <v>341.05500000000006</v>
      </c>
      <c r="I230" s="34" t="s">
        <v>18</v>
      </c>
      <c r="J230" s="204">
        <f>J$160</f>
        <v>0</v>
      </c>
      <c r="K230" s="205">
        <f>J230*H230</f>
        <v>0</v>
      </c>
      <c r="L230" s="206"/>
    </row>
    <row r="231" spans="1:12" s="187" customFormat="1" x14ac:dyDescent="0.2">
      <c r="A231" s="111" t="str">
        <f>IF(F231&lt;&gt;"",1+MAX($A$7:A230),"")</f>
        <v/>
      </c>
      <c r="B231" s="45"/>
      <c r="C231" s="45"/>
      <c r="D231" s="214"/>
      <c r="E231" s="215" t="s">
        <v>48</v>
      </c>
      <c r="F231" s="216"/>
      <c r="G231" s="217"/>
      <c r="H231" s="33">
        <f>ROUNDUP((H230)/32,0)</f>
        <v>11</v>
      </c>
      <c r="I231" s="34" t="s">
        <v>49</v>
      </c>
      <c r="J231" s="204"/>
      <c r="K231" s="205"/>
      <c r="L231" s="206"/>
    </row>
    <row r="232" spans="1:12" s="187" customFormat="1" x14ac:dyDescent="0.2">
      <c r="A232" s="111" t="str">
        <f>IF(F232&lt;&gt;"",1+MAX($A$7:A231),"")</f>
        <v/>
      </c>
      <c r="B232" s="45"/>
      <c r="C232" s="45"/>
      <c r="D232" s="214"/>
      <c r="E232" s="215" t="s">
        <v>50</v>
      </c>
      <c r="F232" s="216"/>
      <c r="G232" s="217"/>
      <c r="H232" s="33">
        <f>ROUNDUP(H231*24/500,0)</f>
        <v>1</v>
      </c>
      <c r="I232" s="34" t="s">
        <v>51</v>
      </c>
      <c r="J232" s="204"/>
      <c r="K232" s="205"/>
      <c r="L232" s="206"/>
    </row>
    <row r="233" spans="1:12" s="187" customFormat="1" x14ac:dyDescent="0.2">
      <c r="A233" s="111" t="str">
        <f>IF(F233&lt;&gt;"",1+MAX($A$7:A232),"")</f>
        <v/>
      </c>
      <c r="B233" s="45"/>
      <c r="C233" s="45"/>
      <c r="D233" s="214"/>
      <c r="E233" s="215" t="s">
        <v>52</v>
      </c>
      <c r="F233" s="216"/>
      <c r="G233" s="217"/>
      <c r="H233" s="218">
        <f>ROUNDUP((H230)/200,0)</f>
        <v>2</v>
      </c>
      <c r="I233" s="34" t="s">
        <v>53</v>
      </c>
      <c r="J233" s="204"/>
      <c r="K233" s="205"/>
      <c r="L233" s="206"/>
    </row>
    <row r="234" spans="1:12" s="187" customFormat="1" x14ac:dyDescent="0.2">
      <c r="A234" s="111" t="str">
        <f>IF(F234&lt;&gt;"",1+MAX($A$7:A233),"")</f>
        <v/>
      </c>
      <c r="B234" s="45"/>
      <c r="C234" s="45"/>
      <c r="D234" s="214"/>
      <c r="E234" s="215" t="s">
        <v>54</v>
      </c>
      <c r="F234" s="216"/>
      <c r="G234" s="217"/>
      <c r="H234" s="218">
        <f>ROUNDUP((H230)*5.25/1000,0)</f>
        <v>2</v>
      </c>
      <c r="I234" s="34" t="s">
        <v>55</v>
      </c>
      <c r="J234" s="204"/>
      <c r="K234" s="205"/>
      <c r="L234" s="206"/>
    </row>
    <row r="235" spans="1:12" s="187" customFormat="1" x14ac:dyDescent="0.2">
      <c r="A235" s="111">
        <f>IF(F235&lt;&gt;"",1+MAX($A$7:A234),"")</f>
        <v>88</v>
      </c>
      <c r="B235" s="2" t="s">
        <v>112</v>
      </c>
      <c r="C235" s="2" t="s">
        <v>111</v>
      </c>
      <c r="D235" s="214"/>
      <c r="E235" s="213" t="s">
        <v>109</v>
      </c>
      <c r="F235" s="17">
        <f>15.9*4</f>
        <v>63.6</v>
      </c>
      <c r="G235" s="127">
        <v>0.1</v>
      </c>
      <c r="H235" s="33">
        <f>F235*(1+G235)</f>
        <v>69.960000000000008</v>
      </c>
      <c r="I235" s="34" t="s">
        <v>15</v>
      </c>
      <c r="J235" s="204">
        <f>J$148</f>
        <v>0</v>
      </c>
      <c r="K235" s="205">
        <f>J235*H235</f>
        <v>0</v>
      </c>
      <c r="L235" s="206"/>
    </row>
    <row r="236" spans="1:12" s="187" customFormat="1" x14ac:dyDescent="0.2">
      <c r="A236" s="111">
        <f>IF(F236&lt;&gt;"",1+MAX($A$7:A235),"")</f>
        <v>89</v>
      </c>
      <c r="B236" s="2" t="s">
        <v>112</v>
      </c>
      <c r="C236" s="2" t="s">
        <v>111</v>
      </c>
      <c r="D236" s="212"/>
      <c r="E236" s="213" t="s">
        <v>119</v>
      </c>
      <c r="F236" s="17">
        <f>15.9*9.75</f>
        <v>155.02500000000001</v>
      </c>
      <c r="G236" s="127">
        <v>0.1</v>
      </c>
      <c r="H236" s="33">
        <f>F236*(1+G236)</f>
        <v>170.52750000000003</v>
      </c>
      <c r="I236" s="34" t="s">
        <v>18</v>
      </c>
      <c r="J236" s="204">
        <f>J$226</f>
        <v>0</v>
      </c>
      <c r="K236" s="205">
        <f>J236*H236</f>
        <v>0</v>
      </c>
      <c r="L236" s="206"/>
    </row>
    <row r="237" spans="1:12" s="187" customFormat="1" x14ac:dyDescent="0.2">
      <c r="A237" s="111">
        <f>IF(F237&lt;&gt;"",1+MAX($A$7:A236),"")</f>
        <v>90</v>
      </c>
      <c r="B237" s="2" t="s">
        <v>112</v>
      </c>
      <c r="C237" s="2" t="s">
        <v>111</v>
      </c>
      <c r="D237" s="212"/>
      <c r="E237" s="213" t="s">
        <v>123</v>
      </c>
      <c r="F237" s="17">
        <f>15.9*9.75</f>
        <v>155.02500000000001</v>
      </c>
      <c r="G237" s="127">
        <v>0.1</v>
      </c>
      <c r="H237" s="33">
        <f>F237*(1+G237)</f>
        <v>170.52750000000003</v>
      </c>
      <c r="I237" s="34" t="s">
        <v>18</v>
      </c>
      <c r="J237" s="204">
        <f>J$202</f>
        <v>0</v>
      </c>
      <c r="K237" s="205">
        <f>J237*H237</f>
        <v>0</v>
      </c>
      <c r="L237" s="206"/>
    </row>
    <row r="238" spans="1:12" s="187" customFormat="1" x14ac:dyDescent="0.2">
      <c r="A238" s="111" t="str">
        <f>IF(F238&lt;&gt;"",1+MAX($A$7:A237),"")</f>
        <v/>
      </c>
      <c r="B238" s="2"/>
      <c r="C238" s="2"/>
      <c r="D238" s="214"/>
      <c r="E238" s="213"/>
      <c r="F238" s="17"/>
      <c r="G238" s="127"/>
      <c r="H238" s="33"/>
      <c r="I238" s="34"/>
      <c r="J238" s="204"/>
      <c r="K238" s="205"/>
      <c r="L238" s="206"/>
    </row>
    <row r="239" spans="1:12" s="187" customFormat="1" x14ac:dyDescent="0.2">
      <c r="A239" s="111" t="str">
        <f>IF(F239&lt;&gt;"",1+MAX($A$7:A238),"")</f>
        <v/>
      </c>
      <c r="B239" s="207"/>
      <c r="C239" s="207"/>
      <c r="D239" s="201"/>
      <c r="E239" s="208" t="s">
        <v>127</v>
      </c>
      <c r="F239" s="203"/>
      <c r="G239" s="25"/>
      <c r="H239" s="209"/>
      <c r="I239" s="5"/>
      <c r="J239" s="210"/>
      <c r="K239" s="211"/>
      <c r="L239" s="206"/>
    </row>
    <row r="240" spans="1:12" s="187" customFormat="1" x14ac:dyDescent="0.2">
      <c r="A240" s="111">
        <f>IF(F240&lt;&gt;"",1+MAX($A$7:A239),"")</f>
        <v>91</v>
      </c>
      <c r="B240" s="2" t="s">
        <v>112</v>
      </c>
      <c r="C240" s="2" t="s">
        <v>111</v>
      </c>
      <c r="D240" s="212"/>
      <c r="E240" s="213" t="s">
        <v>107</v>
      </c>
      <c r="F240" s="17">
        <f>26.8*9.75*2+10.7*9.75</f>
        <v>626.92499999999995</v>
      </c>
      <c r="G240" s="127">
        <v>0.1</v>
      </c>
      <c r="H240" s="33">
        <f>F240*(1+G240)</f>
        <v>689.61749999999995</v>
      </c>
      <c r="I240" s="34" t="s">
        <v>18</v>
      </c>
      <c r="J240" s="204">
        <f>J$143</f>
        <v>0</v>
      </c>
      <c r="K240" s="205">
        <f>J240*H240</f>
        <v>0</v>
      </c>
      <c r="L240" s="206"/>
    </row>
    <row r="241" spans="1:12" s="187" customFormat="1" x14ac:dyDescent="0.2">
      <c r="A241" s="111" t="str">
        <f>IF(F241&lt;&gt;"",1+MAX($A$7:A240),"")</f>
        <v/>
      </c>
      <c r="B241" s="45"/>
      <c r="C241" s="45"/>
      <c r="D241" s="214"/>
      <c r="E241" s="215" t="s">
        <v>48</v>
      </c>
      <c r="F241" s="216"/>
      <c r="G241" s="217"/>
      <c r="H241" s="33">
        <f>ROUNDUP((H240)/32,0)</f>
        <v>22</v>
      </c>
      <c r="I241" s="34" t="s">
        <v>49</v>
      </c>
      <c r="J241" s="204"/>
      <c r="K241" s="205"/>
      <c r="L241" s="206"/>
    </row>
    <row r="242" spans="1:12" s="187" customFormat="1" x14ac:dyDescent="0.2">
      <c r="A242" s="111" t="str">
        <f>IF(F242&lt;&gt;"",1+MAX($A$7:A241),"")</f>
        <v/>
      </c>
      <c r="B242" s="45"/>
      <c r="C242" s="45"/>
      <c r="D242" s="214"/>
      <c r="E242" s="215" t="s">
        <v>50</v>
      </c>
      <c r="F242" s="216"/>
      <c r="G242" s="217"/>
      <c r="H242" s="33">
        <f>ROUNDUP(H241*24/500,0)</f>
        <v>2</v>
      </c>
      <c r="I242" s="34" t="s">
        <v>51</v>
      </c>
      <c r="J242" s="204"/>
      <c r="K242" s="205"/>
      <c r="L242" s="206"/>
    </row>
    <row r="243" spans="1:12" s="187" customFormat="1" x14ac:dyDescent="0.2">
      <c r="A243" s="111" t="str">
        <f>IF(F243&lt;&gt;"",1+MAX($A$7:A242),"")</f>
        <v/>
      </c>
      <c r="B243" s="45"/>
      <c r="C243" s="45"/>
      <c r="D243" s="214"/>
      <c r="E243" s="215" t="s">
        <v>52</v>
      </c>
      <c r="F243" s="216"/>
      <c r="G243" s="217"/>
      <c r="H243" s="218">
        <f>ROUNDUP((H240)/200,0)</f>
        <v>4</v>
      </c>
      <c r="I243" s="34" t="s">
        <v>53</v>
      </c>
      <c r="J243" s="204"/>
      <c r="K243" s="205"/>
      <c r="L243" s="206"/>
    </row>
    <row r="244" spans="1:12" s="187" customFormat="1" x14ac:dyDescent="0.2">
      <c r="A244" s="111" t="str">
        <f>IF(F244&lt;&gt;"",1+MAX($A$7:A243),"")</f>
        <v/>
      </c>
      <c r="B244" s="45"/>
      <c r="C244" s="45"/>
      <c r="D244" s="214"/>
      <c r="E244" s="215" t="s">
        <v>54</v>
      </c>
      <c r="F244" s="216"/>
      <c r="G244" s="217"/>
      <c r="H244" s="218">
        <f>ROUNDUP((H240)*5.25/1000,0)</f>
        <v>4</v>
      </c>
      <c r="I244" s="34" t="s">
        <v>55</v>
      </c>
      <c r="J244" s="204"/>
      <c r="K244" s="205"/>
      <c r="L244" s="206"/>
    </row>
    <row r="245" spans="1:12" s="187" customFormat="1" x14ac:dyDescent="0.2">
      <c r="A245" s="111">
        <f>IF(F245&lt;&gt;"",1+MAX($A$7:A244),"")</f>
        <v>92</v>
      </c>
      <c r="B245" s="2" t="s">
        <v>112</v>
      </c>
      <c r="C245" s="2" t="s">
        <v>111</v>
      </c>
      <c r="D245" s="212"/>
      <c r="E245" s="213" t="s">
        <v>108</v>
      </c>
      <c r="F245" s="17">
        <f>10.7*9.75</f>
        <v>104.32499999999999</v>
      </c>
      <c r="G245" s="127">
        <v>0.1</v>
      </c>
      <c r="H245" s="33">
        <f>F245*(1+G245)</f>
        <v>114.75749999999999</v>
      </c>
      <c r="I245" s="34" t="s">
        <v>18</v>
      </c>
      <c r="J245" s="204">
        <f>J$160</f>
        <v>0</v>
      </c>
      <c r="K245" s="205">
        <f>J245*H245</f>
        <v>0</v>
      </c>
      <c r="L245" s="206"/>
    </row>
    <row r="246" spans="1:12" s="187" customFormat="1" x14ac:dyDescent="0.2">
      <c r="A246" s="111" t="str">
        <f>IF(F246&lt;&gt;"",1+MAX($A$7:A245),"")</f>
        <v/>
      </c>
      <c r="B246" s="45"/>
      <c r="C246" s="45"/>
      <c r="D246" s="214"/>
      <c r="E246" s="215" t="s">
        <v>48</v>
      </c>
      <c r="F246" s="216"/>
      <c r="G246" s="217"/>
      <c r="H246" s="33">
        <f>ROUNDUP((H245)/32,0)</f>
        <v>4</v>
      </c>
      <c r="I246" s="34" t="s">
        <v>49</v>
      </c>
      <c r="J246" s="204"/>
      <c r="K246" s="205"/>
      <c r="L246" s="206"/>
    </row>
    <row r="247" spans="1:12" s="187" customFormat="1" x14ac:dyDescent="0.2">
      <c r="A247" s="111" t="str">
        <f>IF(F247&lt;&gt;"",1+MAX($A$7:A246),"")</f>
        <v/>
      </c>
      <c r="B247" s="45"/>
      <c r="C247" s="45"/>
      <c r="D247" s="214"/>
      <c r="E247" s="215" t="s">
        <v>50</v>
      </c>
      <c r="F247" s="216"/>
      <c r="G247" s="217"/>
      <c r="H247" s="33">
        <f>ROUNDUP(H246*24/500,0)</f>
        <v>1</v>
      </c>
      <c r="I247" s="34" t="s">
        <v>51</v>
      </c>
      <c r="J247" s="204"/>
      <c r="K247" s="205"/>
      <c r="L247" s="206"/>
    </row>
    <row r="248" spans="1:12" s="187" customFormat="1" x14ac:dyDescent="0.2">
      <c r="A248" s="111" t="str">
        <f>IF(F248&lt;&gt;"",1+MAX($A$7:A247),"")</f>
        <v/>
      </c>
      <c r="B248" s="45"/>
      <c r="C248" s="45"/>
      <c r="D248" s="214"/>
      <c r="E248" s="215" t="s">
        <v>52</v>
      </c>
      <c r="F248" s="216"/>
      <c r="G248" s="217"/>
      <c r="H248" s="218">
        <f>ROUNDUP((H245)/200,0)</f>
        <v>1</v>
      </c>
      <c r="I248" s="34" t="s">
        <v>53</v>
      </c>
      <c r="J248" s="204"/>
      <c r="K248" s="205"/>
      <c r="L248" s="206"/>
    </row>
    <row r="249" spans="1:12" s="187" customFormat="1" x14ac:dyDescent="0.2">
      <c r="A249" s="111" t="str">
        <f>IF(F249&lt;&gt;"",1+MAX($A$7:A248),"")</f>
        <v/>
      </c>
      <c r="B249" s="45"/>
      <c r="C249" s="45"/>
      <c r="D249" s="214"/>
      <c r="E249" s="215" t="s">
        <v>54</v>
      </c>
      <c r="F249" s="216"/>
      <c r="G249" s="217"/>
      <c r="H249" s="218">
        <f>ROUNDUP((H245)*5.25/1000,0)</f>
        <v>1</v>
      </c>
      <c r="I249" s="34" t="s">
        <v>55</v>
      </c>
      <c r="J249" s="204"/>
      <c r="K249" s="205"/>
      <c r="L249" s="206"/>
    </row>
    <row r="250" spans="1:12" s="187" customFormat="1" x14ac:dyDescent="0.2">
      <c r="A250" s="111">
        <f>IF(F250&lt;&gt;"",1+MAX($A$7:A249),"")</f>
        <v>93</v>
      </c>
      <c r="B250" s="2" t="s">
        <v>112</v>
      </c>
      <c r="C250" s="2" t="s">
        <v>111</v>
      </c>
      <c r="D250" s="214"/>
      <c r="E250" s="213" t="s">
        <v>109</v>
      </c>
      <c r="F250" s="17">
        <f>37.5*4</f>
        <v>150</v>
      </c>
      <c r="G250" s="127">
        <v>0.1</v>
      </c>
      <c r="H250" s="33">
        <f>F250*(1+G250)</f>
        <v>165</v>
      </c>
      <c r="I250" s="34" t="s">
        <v>15</v>
      </c>
      <c r="J250" s="204">
        <f>J$148</f>
        <v>0</v>
      </c>
      <c r="K250" s="205">
        <f>J250*H250</f>
        <v>0</v>
      </c>
      <c r="L250" s="206"/>
    </row>
    <row r="251" spans="1:12" s="187" customFormat="1" x14ac:dyDescent="0.2">
      <c r="A251" s="111">
        <f>IF(F251&lt;&gt;"",1+MAX($A$7:A250),"")</f>
        <v>94</v>
      </c>
      <c r="B251" s="2" t="s">
        <v>112</v>
      </c>
      <c r="C251" s="2" t="s">
        <v>111</v>
      </c>
      <c r="D251" s="212"/>
      <c r="E251" s="213" t="s">
        <v>116</v>
      </c>
      <c r="F251" s="17">
        <f>37.5*9.75</f>
        <v>365.625</v>
      </c>
      <c r="G251" s="127">
        <v>0.1</v>
      </c>
      <c r="H251" s="33">
        <f>F251*(1+G251)</f>
        <v>402.18750000000006</v>
      </c>
      <c r="I251" s="34" t="s">
        <v>18</v>
      </c>
      <c r="J251" s="130">
        <v>0</v>
      </c>
      <c r="K251" s="205">
        <f>J251*H251</f>
        <v>0</v>
      </c>
      <c r="L251" s="206"/>
    </row>
    <row r="252" spans="1:12" s="187" customFormat="1" x14ac:dyDescent="0.2">
      <c r="A252" s="111">
        <f>IF(F252&lt;&gt;"",1+MAX($A$7:A251),"")</f>
        <v>95</v>
      </c>
      <c r="B252" s="2" t="s">
        <v>112</v>
      </c>
      <c r="C252" s="2" t="s">
        <v>111</v>
      </c>
      <c r="D252" s="212"/>
      <c r="E252" s="213" t="s">
        <v>123</v>
      </c>
      <c r="F252" s="17">
        <f>37.5*9.75</f>
        <v>365.625</v>
      </c>
      <c r="G252" s="127">
        <v>0.1</v>
      </c>
      <c r="H252" s="33">
        <f>F252*(1+G252)</f>
        <v>402.18750000000006</v>
      </c>
      <c r="I252" s="34" t="s">
        <v>18</v>
      </c>
      <c r="J252" s="204">
        <f>J$202</f>
        <v>0</v>
      </c>
      <c r="K252" s="205">
        <f>J252*H252</f>
        <v>0</v>
      </c>
      <c r="L252" s="206"/>
    </row>
    <row r="253" spans="1:12" s="187" customFormat="1" x14ac:dyDescent="0.2">
      <c r="A253" s="111" t="str">
        <f>IF(F253&lt;&gt;"",1+MAX($A$7:A252),"")</f>
        <v/>
      </c>
      <c r="B253" s="2"/>
      <c r="C253" s="2"/>
      <c r="D253" s="214"/>
      <c r="E253" s="213"/>
      <c r="F253" s="17"/>
      <c r="G253" s="127"/>
      <c r="H253" s="33"/>
      <c r="I253" s="34"/>
      <c r="J253" s="204"/>
      <c r="K253" s="205"/>
      <c r="L253" s="206"/>
    </row>
    <row r="254" spans="1:12" s="187" customFormat="1" x14ac:dyDescent="0.2">
      <c r="A254" s="111" t="str">
        <f>IF(F254&lt;&gt;"",1+MAX($A$7:A253),"")</f>
        <v/>
      </c>
      <c r="B254" s="207"/>
      <c r="C254" s="207"/>
      <c r="D254" s="201"/>
      <c r="E254" s="208" t="s">
        <v>128</v>
      </c>
      <c r="F254" s="203"/>
      <c r="G254" s="25"/>
      <c r="H254" s="209"/>
      <c r="I254" s="5"/>
      <c r="J254" s="210"/>
      <c r="K254" s="211"/>
      <c r="L254" s="206"/>
    </row>
    <row r="255" spans="1:12" s="187" customFormat="1" x14ac:dyDescent="0.2">
      <c r="A255" s="111">
        <f>IF(F255&lt;&gt;"",1+MAX($A$7:A254),"")</f>
        <v>96</v>
      </c>
      <c r="B255" s="2" t="s">
        <v>112</v>
      </c>
      <c r="C255" s="2" t="s">
        <v>111</v>
      </c>
      <c r="D255" s="212"/>
      <c r="E255" s="213" t="s">
        <v>122</v>
      </c>
      <c r="F255" s="17">
        <f>37.5*9.75</f>
        <v>365.625</v>
      </c>
      <c r="G255" s="127">
        <v>0.1</v>
      </c>
      <c r="H255" s="33">
        <f>F255*(1+G255)</f>
        <v>402.18750000000006</v>
      </c>
      <c r="I255" s="34" t="s">
        <v>18</v>
      </c>
      <c r="J255" s="204">
        <f>J$143</f>
        <v>0</v>
      </c>
      <c r="K255" s="205">
        <f>J255*H255</f>
        <v>0</v>
      </c>
      <c r="L255" s="206"/>
    </row>
    <row r="256" spans="1:12" s="187" customFormat="1" x14ac:dyDescent="0.2">
      <c r="A256" s="111" t="str">
        <f>IF(F256&lt;&gt;"",1+MAX($A$7:A255),"")</f>
        <v/>
      </c>
      <c r="B256" s="45"/>
      <c r="C256" s="45"/>
      <c r="D256" s="214"/>
      <c r="E256" s="215" t="s">
        <v>48</v>
      </c>
      <c r="F256" s="216"/>
      <c r="G256" s="217"/>
      <c r="H256" s="33">
        <f>ROUNDUP((H255)/32,0)</f>
        <v>13</v>
      </c>
      <c r="I256" s="34" t="s">
        <v>49</v>
      </c>
      <c r="J256" s="204"/>
      <c r="K256" s="205"/>
      <c r="L256" s="206"/>
    </row>
    <row r="257" spans="1:12" s="187" customFormat="1" x14ac:dyDescent="0.2">
      <c r="A257" s="111" t="str">
        <f>IF(F257&lt;&gt;"",1+MAX($A$7:A256),"")</f>
        <v/>
      </c>
      <c r="B257" s="45"/>
      <c r="C257" s="45"/>
      <c r="D257" s="214"/>
      <c r="E257" s="215" t="s">
        <v>50</v>
      </c>
      <c r="F257" s="216"/>
      <c r="G257" s="217"/>
      <c r="H257" s="33">
        <f>ROUNDUP(H256*24/500,0)</f>
        <v>1</v>
      </c>
      <c r="I257" s="34" t="s">
        <v>51</v>
      </c>
      <c r="J257" s="204"/>
      <c r="K257" s="205"/>
      <c r="L257" s="206"/>
    </row>
    <row r="258" spans="1:12" s="187" customFormat="1" x14ac:dyDescent="0.2">
      <c r="A258" s="111" t="str">
        <f>IF(F258&lt;&gt;"",1+MAX($A$7:A257),"")</f>
        <v/>
      </c>
      <c r="B258" s="45"/>
      <c r="C258" s="45"/>
      <c r="D258" s="214"/>
      <c r="E258" s="215" t="s">
        <v>52</v>
      </c>
      <c r="F258" s="216"/>
      <c r="G258" s="217"/>
      <c r="H258" s="218">
        <f>ROUNDUP((H255)/200,0)</f>
        <v>3</v>
      </c>
      <c r="I258" s="34" t="s">
        <v>53</v>
      </c>
      <c r="J258" s="204"/>
      <c r="K258" s="205"/>
      <c r="L258" s="206"/>
    </row>
    <row r="259" spans="1:12" s="187" customFormat="1" x14ac:dyDescent="0.2">
      <c r="A259" s="111" t="str">
        <f>IF(F259&lt;&gt;"",1+MAX($A$7:A258),"")</f>
        <v/>
      </c>
      <c r="B259" s="45"/>
      <c r="C259" s="45"/>
      <c r="D259" s="214"/>
      <c r="E259" s="215" t="s">
        <v>54</v>
      </c>
      <c r="F259" s="216"/>
      <c r="G259" s="217"/>
      <c r="H259" s="218">
        <f>ROUNDUP((H255)*5.25/1000,0)</f>
        <v>3</v>
      </c>
      <c r="I259" s="34" t="s">
        <v>55</v>
      </c>
      <c r="J259" s="204"/>
      <c r="K259" s="205"/>
      <c r="L259" s="206"/>
    </row>
    <row r="260" spans="1:12" s="187" customFormat="1" x14ac:dyDescent="0.2">
      <c r="A260" s="111">
        <f>IF(F260&lt;&gt;"",1+MAX($A$7:A259),"")</f>
        <v>97</v>
      </c>
      <c r="B260" s="2" t="s">
        <v>112</v>
      </c>
      <c r="C260" s="2" t="s">
        <v>111</v>
      </c>
      <c r="D260" s="212"/>
      <c r="E260" s="213" t="s">
        <v>108</v>
      </c>
      <c r="F260" s="17">
        <f>22*9.75</f>
        <v>214.5</v>
      </c>
      <c r="G260" s="127">
        <v>0.1</v>
      </c>
      <c r="H260" s="33">
        <f>F260*(1+G260)</f>
        <v>235.95000000000002</v>
      </c>
      <c r="I260" s="34" t="s">
        <v>18</v>
      </c>
      <c r="J260" s="204">
        <f>J$160</f>
        <v>0</v>
      </c>
      <c r="K260" s="205">
        <f>J260*H260</f>
        <v>0</v>
      </c>
      <c r="L260" s="206"/>
    </row>
    <row r="261" spans="1:12" s="187" customFormat="1" x14ac:dyDescent="0.2">
      <c r="A261" s="111" t="str">
        <f>IF(F261&lt;&gt;"",1+MAX($A$7:A260),"")</f>
        <v/>
      </c>
      <c r="B261" s="45"/>
      <c r="C261" s="45"/>
      <c r="D261" s="214"/>
      <c r="E261" s="215" t="s">
        <v>48</v>
      </c>
      <c r="F261" s="216"/>
      <c r="G261" s="217"/>
      <c r="H261" s="33">
        <f>ROUNDUP((H260)/32,0)</f>
        <v>8</v>
      </c>
      <c r="I261" s="34" t="s">
        <v>49</v>
      </c>
      <c r="J261" s="204"/>
      <c r="K261" s="205"/>
      <c r="L261" s="206"/>
    </row>
    <row r="262" spans="1:12" s="187" customFormat="1" x14ac:dyDescent="0.2">
      <c r="A262" s="111" t="str">
        <f>IF(F262&lt;&gt;"",1+MAX($A$7:A261),"")</f>
        <v/>
      </c>
      <c r="B262" s="45"/>
      <c r="C262" s="45"/>
      <c r="D262" s="214"/>
      <c r="E262" s="215" t="s">
        <v>50</v>
      </c>
      <c r="F262" s="216"/>
      <c r="G262" s="217"/>
      <c r="H262" s="33">
        <f>ROUNDUP(H261*24/500,0)</f>
        <v>1</v>
      </c>
      <c r="I262" s="34" t="s">
        <v>51</v>
      </c>
      <c r="J262" s="204"/>
      <c r="K262" s="205"/>
      <c r="L262" s="206"/>
    </row>
    <row r="263" spans="1:12" s="187" customFormat="1" x14ac:dyDescent="0.2">
      <c r="A263" s="111" t="str">
        <f>IF(F263&lt;&gt;"",1+MAX($A$7:A262),"")</f>
        <v/>
      </c>
      <c r="B263" s="45"/>
      <c r="C263" s="45"/>
      <c r="D263" s="214"/>
      <c r="E263" s="215" t="s">
        <v>52</v>
      </c>
      <c r="F263" s="216"/>
      <c r="G263" s="217"/>
      <c r="H263" s="218">
        <f>ROUNDUP((H260)/200,0)</f>
        <v>2</v>
      </c>
      <c r="I263" s="34" t="s">
        <v>53</v>
      </c>
      <c r="J263" s="204"/>
      <c r="K263" s="205"/>
      <c r="L263" s="206"/>
    </row>
    <row r="264" spans="1:12" s="187" customFormat="1" x14ac:dyDescent="0.2">
      <c r="A264" s="111" t="str">
        <f>IF(F264&lt;&gt;"",1+MAX($A$7:A263),"")</f>
        <v/>
      </c>
      <c r="B264" s="45"/>
      <c r="C264" s="45"/>
      <c r="D264" s="214"/>
      <c r="E264" s="215" t="s">
        <v>54</v>
      </c>
      <c r="F264" s="216"/>
      <c r="G264" s="217"/>
      <c r="H264" s="218">
        <f>ROUNDUP((H260)*5.25/1000,0)</f>
        <v>2</v>
      </c>
      <c r="I264" s="34" t="s">
        <v>55</v>
      </c>
      <c r="J264" s="204"/>
      <c r="K264" s="205"/>
      <c r="L264" s="206"/>
    </row>
    <row r="265" spans="1:12" s="187" customFormat="1" x14ac:dyDescent="0.2">
      <c r="A265" s="111">
        <f>IF(F265&lt;&gt;"",1+MAX($A$7:A264),"")</f>
        <v>98</v>
      </c>
      <c r="B265" s="2" t="s">
        <v>112</v>
      </c>
      <c r="C265" s="2" t="s">
        <v>111</v>
      </c>
      <c r="D265" s="214"/>
      <c r="E265" s="213" t="s">
        <v>109</v>
      </c>
      <c r="F265" s="17">
        <f>59.5*2</f>
        <v>119</v>
      </c>
      <c r="G265" s="127">
        <v>0.1</v>
      </c>
      <c r="H265" s="33">
        <f>F265*(1+G265)</f>
        <v>130.9</v>
      </c>
      <c r="I265" s="34" t="s">
        <v>15</v>
      </c>
      <c r="J265" s="204">
        <f>J$148</f>
        <v>0</v>
      </c>
      <c r="K265" s="205">
        <f>J265*H265</f>
        <v>0</v>
      </c>
      <c r="L265" s="206"/>
    </row>
    <row r="266" spans="1:12" s="187" customFormat="1" x14ac:dyDescent="0.2">
      <c r="A266" s="111">
        <f>IF(F266&lt;&gt;"",1+MAX($A$7:A265),"")</f>
        <v>99</v>
      </c>
      <c r="B266" s="2" t="s">
        <v>112</v>
      </c>
      <c r="C266" s="2" t="s">
        <v>111</v>
      </c>
      <c r="D266" s="212"/>
      <c r="E266" s="213" t="s">
        <v>118</v>
      </c>
      <c r="F266" s="17">
        <f>59.5*9.75</f>
        <v>580.125</v>
      </c>
      <c r="G266" s="127">
        <v>0.1</v>
      </c>
      <c r="H266" s="33">
        <f>F266*(1+G266)</f>
        <v>638.13750000000005</v>
      </c>
      <c r="I266" s="34" t="s">
        <v>18</v>
      </c>
      <c r="J266" s="204">
        <f>J$187</f>
        <v>0</v>
      </c>
      <c r="K266" s="205">
        <f>J266*H266</f>
        <v>0</v>
      </c>
      <c r="L266" s="206"/>
    </row>
    <row r="267" spans="1:12" s="187" customFormat="1" x14ac:dyDescent="0.2">
      <c r="A267" s="111">
        <f>IF(F267&lt;&gt;"",1+MAX($A$7:A266),"")</f>
        <v>100</v>
      </c>
      <c r="B267" s="2" t="s">
        <v>112</v>
      </c>
      <c r="C267" s="2" t="s">
        <v>111</v>
      </c>
      <c r="D267" s="212"/>
      <c r="E267" s="213" t="s">
        <v>123</v>
      </c>
      <c r="F267" s="17">
        <f>59.5*9.75</f>
        <v>580.125</v>
      </c>
      <c r="G267" s="127">
        <v>0.1</v>
      </c>
      <c r="H267" s="33">
        <f>F267*(1+G267)</f>
        <v>638.13750000000005</v>
      </c>
      <c r="I267" s="34" t="s">
        <v>18</v>
      </c>
      <c r="J267" s="204">
        <f>J$202</f>
        <v>0</v>
      </c>
      <c r="K267" s="205">
        <f>J267*H267</f>
        <v>0</v>
      </c>
      <c r="L267" s="206"/>
    </row>
    <row r="268" spans="1:12" s="187" customFormat="1" x14ac:dyDescent="0.2">
      <c r="A268" s="111" t="str">
        <f>IF(F268&lt;&gt;"",1+MAX($A$7:A267),"")</f>
        <v/>
      </c>
      <c r="B268" s="2"/>
      <c r="C268" s="2"/>
      <c r="D268" s="214"/>
      <c r="E268" s="213"/>
      <c r="F268" s="17"/>
      <c r="G268" s="127"/>
      <c r="H268" s="33"/>
      <c r="I268" s="34"/>
      <c r="J268" s="204"/>
      <c r="K268" s="205"/>
      <c r="L268" s="206"/>
    </row>
    <row r="269" spans="1:12" s="187" customFormat="1" x14ac:dyDescent="0.2">
      <c r="A269" s="111" t="str">
        <f>IF(F269&lt;&gt;"",1+MAX($A$7:A268),"")</f>
        <v/>
      </c>
      <c r="B269" s="207"/>
      <c r="C269" s="207"/>
      <c r="D269" s="201"/>
      <c r="E269" s="208" t="s">
        <v>129</v>
      </c>
      <c r="F269" s="203"/>
      <c r="G269" s="25"/>
      <c r="H269" s="209"/>
      <c r="I269" s="5"/>
      <c r="J269" s="210"/>
      <c r="K269" s="211"/>
      <c r="L269" s="206"/>
    </row>
    <row r="270" spans="1:12" s="187" customFormat="1" x14ac:dyDescent="0.2">
      <c r="A270" s="111">
        <f>IF(F270&lt;&gt;"",1+MAX($A$7:A269),"")</f>
        <v>101</v>
      </c>
      <c r="B270" s="2" t="s">
        <v>112</v>
      </c>
      <c r="C270" s="2" t="s">
        <v>111</v>
      </c>
      <c r="D270" s="212"/>
      <c r="E270" s="213" t="s">
        <v>122</v>
      </c>
      <c r="F270" s="17">
        <f>45.8*9.75</f>
        <v>446.54999999999995</v>
      </c>
      <c r="G270" s="127">
        <v>0.1</v>
      </c>
      <c r="H270" s="33">
        <f>F270*(1+G270)</f>
        <v>491.20499999999998</v>
      </c>
      <c r="I270" s="34" t="s">
        <v>18</v>
      </c>
      <c r="J270" s="204">
        <f>J$143</f>
        <v>0</v>
      </c>
      <c r="K270" s="205">
        <f>J270*H270</f>
        <v>0</v>
      </c>
      <c r="L270" s="206"/>
    </row>
    <row r="271" spans="1:12" s="187" customFormat="1" x14ac:dyDescent="0.2">
      <c r="A271" s="111" t="str">
        <f>IF(F271&lt;&gt;"",1+MAX($A$7:A270),"")</f>
        <v/>
      </c>
      <c r="B271" s="45"/>
      <c r="C271" s="45"/>
      <c r="D271" s="214"/>
      <c r="E271" s="215" t="s">
        <v>48</v>
      </c>
      <c r="F271" s="216"/>
      <c r="G271" s="217"/>
      <c r="H271" s="33">
        <f>ROUNDUP((H270)/32,0)</f>
        <v>16</v>
      </c>
      <c r="I271" s="34" t="s">
        <v>49</v>
      </c>
      <c r="J271" s="204"/>
      <c r="K271" s="205"/>
      <c r="L271" s="206"/>
    </row>
    <row r="272" spans="1:12" s="187" customFormat="1" x14ac:dyDescent="0.2">
      <c r="A272" s="111" t="str">
        <f>IF(F272&lt;&gt;"",1+MAX($A$7:A271),"")</f>
        <v/>
      </c>
      <c r="B272" s="45"/>
      <c r="C272" s="45"/>
      <c r="D272" s="214"/>
      <c r="E272" s="215" t="s">
        <v>50</v>
      </c>
      <c r="F272" s="216"/>
      <c r="G272" s="217"/>
      <c r="H272" s="33">
        <f>ROUNDUP(H271*24/500,0)</f>
        <v>1</v>
      </c>
      <c r="I272" s="34" t="s">
        <v>51</v>
      </c>
      <c r="J272" s="204"/>
      <c r="K272" s="205"/>
      <c r="L272" s="206"/>
    </row>
    <row r="273" spans="1:12" s="187" customFormat="1" x14ac:dyDescent="0.2">
      <c r="A273" s="111" t="str">
        <f>IF(F273&lt;&gt;"",1+MAX($A$7:A272),"")</f>
        <v/>
      </c>
      <c r="B273" s="45"/>
      <c r="C273" s="45"/>
      <c r="D273" s="214"/>
      <c r="E273" s="215" t="s">
        <v>52</v>
      </c>
      <c r="F273" s="216"/>
      <c r="G273" s="217"/>
      <c r="H273" s="218">
        <f>ROUNDUP((H270)/200,0)</f>
        <v>3</v>
      </c>
      <c r="I273" s="34" t="s">
        <v>53</v>
      </c>
      <c r="J273" s="204"/>
      <c r="K273" s="205"/>
      <c r="L273" s="206"/>
    </row>
    <row r="274" spans="1:12" s="187" customFormat="1" x14ac:dyDescent="0.2">
      <c r="A274" s="111" t="str">
        <f>IF(F274&lt;&gt;"",1+MAX($A$7:A273),"")</f>
        <v/>
      </c>
      <c r="B274" s="45"/>
      <c r="C274" s="45"/>
      <c r="D274" s="214"/>
      <c r="E274" s="215" t="s">
        <v>54</v>
      </c>
      <c r="F274" s="216"/>
      <c r="G274" s="217"/>
      <c r="H274" s="218">
        <f>ROUNDUP((H270)*5.25/1000,0)</f>
        <v>3</v>
      </c>
      <c r="I274" s="34" t="s">
        <v>55</v>
      </c>
      <c r="J274" s="204"/>
      <c r="K274" s="205"/>
      <c r="L274" s="206"/>
    </row>
    <row r="275" spans="1:12" s="187" customFormat="1" x14ac:dyDescent="0.2">
      <c r="A275" s="111">
        <f>IF(F275&lt;&gt;"",1+MAX($A$7:A274),"")</f>
        <v>102</v>
      </c>
      <c r="B275" s="2" t="s">
        <v>112</v>
      </c>
      <c r="C275" s="2" t="s">
        <v>111</v>
      </c>
      <c r="D275" s="214"/>
      <c r="E275" s="213" t="s">
        <v>109</v>
      </c>
      <c r="F275" s="17">
        <f>45.8*2</f>
        <v>91.6</v>
      </c>
      <c r="G275" s="127">
        <v>0.1</v>
      </c>
      <c r="H275" s="33">
        <f>F275*(1+G275)</f>
        <v>100.76</v>
      </c>
      <c r="I275" s="34" t="s">
        <v>15</v>
      </c>
      <c r="J275" s="204">
        <f>J$148</f>
        <v>0</v>
      </c>
      <c r="K275" s="205">
        <f>J275*H275</f>
        <v>0</v>
      </c>
      <c r="L275" s="206"/>
    </row>
    <row r="276" spans="1:12" s="187" customFormat="1" x14ac:dyDescent="0.2">
      <c r="A276" s="111">
        <f>IF(F276&lt;&gt;"",1+MAX($A$7:A275),"")</f>
        <v>103</v>
      </c>
      <c r="B276" s="2" t="s">
        <v>112</v>
      </c>
      <c r="C276" s="2" t="s">
        <v>111</v>
      </c>
      <c r="D276" s="212"/>
      <c r="E276" s="213" t="s">
        <v>484</v>
      </c>
      <c r="F276" s="17">
        <f>45.8*9.75</f>
        <v>446.54999999999995</v>
      </c>
      <c r="G276" s="127">
        <v>0.1</v>
      </c>
      <c r="H276" s="33">
        <f>F276*(1+G276)</f>
        <v>491.20499999999998</v>
      </c>
      <c r="I276" s="34" t="s">
        <v>18</v>
      </c>
      <c r="J276" s="130">
        <v>0</v>
      </c>
      <c r="K276" s="205">
        <f>J276*H276</f>
        <v>0</v>
      </c>
      <c r="L276" s="206"/>
    </row>
    <row r="277" spans="1:12" s="187" customFormat="1" x14ac:dyDescent="0.2">
      <c r="A277" s="111">
        <f>IF(F277&lt;&gt;"",1+MAX($A$7:A276),"")</f>
        <v>104</v>
      </c>
      <c r="B277" s="2" t="s">
        <v>112</v>
      </c>
      <c r="C277" s="2" t="s">
        <v>111</v>
      </c>
      <c r="D277" s="212"/>
      <c r="E277" s="213" t="s">
        <v>123</v>
      </c>
      <c r="F277" s="17">
        <f>45.8*9.75</f>
        <v>446.54999999999995</v>
      </c>
      <c r="G277" s="127">
        <v>0.1</v>
      </c>
      <c r="H277" s="33">
        <f>F277*(1+G277)</f>
        <v>491.20499999999998</v>
      </c>
      <c r="I277" s="34" t="s">
        <v>18</v>
      </c>
      <c r="J277" s="204">
        <f>J$202</f>
        <v>0</v>
      </c>
      <c r="K277" s="205">
        <f>J277*H277</f>
        <v>0</v>
      </c>
      <c r="L277" s="206"/>
    </row>
    <row r="278" spans="1:12" s="187" customFormat="1" x14ac:dyDescent="0.2">
      <c r="A278" s="111" t="str">
        <f>IF(F278&lt;&gt;"",1+MAX($A$7:A277),"")</f>
        <v/>
      </c>
      <c r="B278" s="2"/>
      <c r="C278" s="2"/>
      <c r="D278" s="214"/>
      <c r="E278" s="213"/>
      <c r="F278" s="17"/>
      <c r="G278" s="127"/>
      <c r="H278" s="33"/>
      <c r="I278" s="34"/>
      <c r="J278" s="204"/>
      <c r="K278" s="205"/>
      <c r="L278" s="206"/>
    </row>
    <row r="279" spans="1:12" s="187" customFormat="1" x14ac:dyDescent="0.2">
      <c r="A279" s="111" t="str">
        <f>IF(F279&lt;&gt;"",1+MAX($A$7:A278),"")</f>
        <v/>
      </c>
      <c r="B279" s="207"/>
      <c r="C279" s="207"/>
      <c r="D279" s="201"/>
      <c r="E279" s="208" t="s">
        <v>131</v>
      </c>
      <c r="F279" s="203"/>
      <c r="G279" s="25"/>
      <c r="H279" s="209"/>
      <c r="I279" s="5"/>
      <c r="J279" s="210"/>
      <c r="K279" s="211"/>
      <c r="L279" s="206"/>
    </row>
    <row r="280" spans="1:12" s="187" customFormat="1" ht="31.5" x14ac:dyDescent="0.2">
      <c r="A280" s="111">
        <f>IF(F280&lt;&gt;"",1+MAX($A$7:A279),"")</f>
        <v>105</v>
      </c>
      <c r="B280" s="2" t="s">
        <v>112</v>
      </c>
      <c r="C280" s="2" t="s">
        <v>111</v>
      </c>
      <c r="D280" s="212"/>
      <c r="E280" s="213" t="s">
        <v>72</v>
      </c>
      <c r="F280" s="17">
        <f>8*9.75*3</f>
        <v>234</v>
      </c>
      <c r="G280" s="127">
        <v>0.1</v>
      </c>
      <c r="H280" s="33">
        <f>F280*(1+G280)</f>
        <v>257.40000000000003</v>
      </c>
      <c r="I280" s="34" t="s">
        <v>18</v>
      </c>
      <c r="J280" s="204">
        <f>J$143</f>
        <v>0</v>
      </c>
      <c r="K280" s="205">
        <f>J280*H280</f>
        <v>0</v>
      </c>
      <c r="L280" s="206"/>
    </row>
    <row r="281" spans="1:12" s="187" customFormat="1" x14ac:dyDescent="0.2">
      <c r="A281" s="111" t="str">
        <f>IF(F281&lt;&gt;"",1+MAX($A$7:A280),"")</f>
        <v/>
      </c>
      <c r="B281" s="45"/>
      <c r="C281" s="45"/>
      <c r="D281" s="214"/>
      <c r="E281" s="215" t="s">
        <v>48</v>
      </c>
      <c r="F281" s="216"/>
      <c r="G281" s="217"/>
      <c r="H281" s="33">
        <f>ROUNDUP((H280)/32,0)</f>
        <v>9</v>
      </c>
      <c r="I281" s="34" t="s">
        <v>49</v>
      </c>
      <c r="J281" s="204"/>
      <c r="K281" s="205"/>
      <c r="L281" s="206"/>
    </row>
    <row r="282" spans="1:12" s="187" customFormat="1" x14ac:dyDescent="0.2">
      <c r="A282" s="111" t="str">
        <f>IF(F282&lt;&gt;"",1+MAX($A$7:A281),"")</f>
        <v/>
      </c>
      <c r="B282" s="45"/>
      <c r="C282" s="45"/>
      <c r="D282" s="214"/>
      <c r="E282" s="215" t="s">
        <v>50</v>
      </c>
      <c r="F282" s="216"/>
      <c r="G282" s="217"/>
      <c r="H282" s="33">
        <f>ROUNDUP(H281*24/500,0)</f>
        <v>1</v>
      </c>
      <c r="I282" s="34" t="s">
        <v>51</v>
      </c>
      <c r="J282" s="204"/>
      <c r="K282" s="205"/>
      <c r="L282" s="206"/>
    </row>
    <row r="283" spans="1:12" s="187" customFormat="1" x14ac:dyDescent="0.2">
      <c r="A283" s="111" t="str">
        <f>IF(F283&lt;&gt;"",1+MAX($A$7:A282),"")</f>
        <v/>
      </c>
      <c r="B283" s="45"/>
      <c r="C283" s="45"/>
      <c r="D283" s="214"/>
      <c r="E283" s="215" t="s">
        <v>52</v>
      </c>
      <c r="F283" s="216"/>
      <c r="G283" s="217"/>
      <c r="H283" s="218">
        <f>ROUNDUP((H280)/200,0)</f>
        <v>2</v>
      </c>
      <c r="I283" s="34" t="s">
        <v>53</v>
      </c>
      <c r="J283" s="204"/>
      <c r="K283" s="205"/>
      <c r="L283" s="206"/>
    </row>
    <row r="284" spans="1:12" s="187" customFormat="1" x14ac:dyDescent="0.2">
      <c r="A284" s="111" t="str">
        <f>IF(F284&lt;&gt;"",1+MAX($A$7:A283),"")</f>
        <v/>
      </c>
      <c r="B284" s="45"/>
      <c r="C284" s="45"/>
      <c r="D284" s="214"/>
      <c r="E284" s="215" t="s">
        <v>54</v>
      </c>
      <c r="F284" s="216"/>
      <c r="G284" s="217"/>
      <c r="H284" s="218">
        <f>ROUNDUP((H280)*5.25/1000,0)</f>
        <v>2</v>
      </c>
      <c r="I284" s="34" t="s">
        <v>55</v>
      </c>
      <c r="J284" s="204"/>
      <c r="K284" s="205"/>
      <c r="L284" s="206"/>
    </row>
    <row r="285" spans="1:12" s="187" customFormat="1" x14ac:dyDescent="0.2">
      <c r="A285" s="111">
        <f>IF(F285&lt;&gt;"",1+MAX($A$7:A284),"")</f>
        <v>106</v>
      </c>
      <c r="B285" s="2" t="s">
        <v>112</v>
      </c>
      <c r="C285" s="2" t="s">
        <v>111</v>
      </c>
      <c r="D285" s="212"/>
      <c r="E285" s="213" t="s">
        <v>108</v>
      </c>
      <c r="F285" s="17">
        <f>8*9.75</f>
        <v>78</v>
      </c>
      <c r="G285" s="127">
        <v>0.1</v>
      </c>
      <c r="H285" s="33">
        <f>F285*(1+G285)</f>
        <v>85.800000000000011</v>
      </c>
      <c r="I285" s="34" t="s">
        <v>18</v>
      </c>
      <c r="J285" s="204">
        <f>J$160</f>
        <v>0</v>
      </c>
      <c r="K285" s="205">
        <f>J285*H285</f>
        <v>0</v>
      </c>
      <c r="L285" s="206"/>
    </row>
    <row r="286" spans="1:12" s="187" customFormat="1" x14ac:dyDescent="0.2">
      <c r="A286" s="111" t="str">
        <f>IF(F286&lt;&gt;"",1+MAX($A$7:A285),"")</f>
        <v/>
      </c>
      <c r="B286" s="45"/>
      <c r="C286" s="45"/>
      <c r="D286" s="214"/>
      <c r="E286" s="215" t="s">
        <v>48</v>
      </c>
      <c r="F286" s="216"/>
      <c r="G286" s="217"/>
      <c r="H286" s="33">
        <f>ROUNDUP((H285)/32,0)</f>
        <v>3</v>
      </c>
      <c r="I286" s="34" t="s">
        <v>49</v>
      </c>
      <c r="J286" s="204"/>
      <c r="K286" s="205"/>
      <c r="L286" s="206"/>
    </row>
    <row r="287" spans="1:12" s="187" customFormat="1" x14ac:dyDescent="0.2">
      <c r="A287" s="111" t="str">
        <f>IF(F287&lt;&gt;"",1+MAX($A$7:A286),"")</f>
        <v/>
      </c>
      <c r="B287" s="45"/>
      <c r="C287" s="45"/>
      <c r="D287" s="214"/>
      <c r="E287" s="215" t="s">
        <v>50</v>
      </c>
      <c r="F287" s="216"/>
      <c r="G287" s="217"/>
      <c r="H287" s="33">
        <f>ROUNDUP(H286*24/500,0)</f>
        <v>1</v>
      </c>
      <c r="I287" s="34" t="s">
        <v>51</v>
      </c>
      <c r="J287" s="204"/>
      <c r="K287" s="205"/>
      <c r="L287" s="206"/>
    </row>
    <row r="288" spans="1:12" s="187" customFormat="1" x14ac:dyDescent="0.2">
      <c r="A288" s="111" t="str">
        <f>IF(F288&lt;&gt;"",1+MAX($A$7:A287),"")</f>
        <v/>
      </c>
      <c r="B288" s="45"/>
      <c r="C288" s="45"/>
      <c r="D288" s="214"/>
      <c r="E288" s="215" t="s">
        <v>52</v>
      </c>
      <c r="F288" s="216"/>
      <c r="G288" s="217"/>
      <c r="H288" s="218">
        <f>ROUNDUP((H285)/200,0)</f>
        <v>1</v>
      </c>
      <c r="I288" s="34" t="s">
        <v>53</v>
      </c>
      <c r="J288" s="204"/>
      <c r="K288" s="205"/>
      <c r="L288" s="206"/>
    </row>
    <row r="289" spans="1:12" s="187" customFormat="1" x14ac:dyDescent="0.2">
      <c r="A289" s="111" t="str">
        <f>IF(F289&lt;&gt;"",1+MAX($A$7:A288),"")</f>
        <v/>
      </c>
      <c r="B289" s="45"/>
      <c r="C289" s="45"/>
      <c r="D289" s="214"/>
      <c r="E289" s="215" t="s">
        <v>54</v>
      </c>
      <c r="F289" s="216"/>
      <c r="G289" s="217"/>
      <c r="H289" s="218">
        <f>ROUNDUP((H285)*5.25/1000,0)</f>
        <v>1</v>
      </c>
      <c r="I289" s="34" t="s">
        <v>55</v>
      </c>
      <c r="J289" s="204"/>
      <c r="K289" s="205"/>
      <c r="L289" s="206"/>
    </row>
    <row r="290" spans="1:12" s="187" customFormat="1" x14ac:dyDescent="0.2">
      <c r="A290" s="111">
        <f>IF(F290&lt;&gt;"",1+MAX($A$7:A289),"")</f>
        <v>107</v>
      </c>
      <c r="B290" s="2" t="s">
        <v>112</v>
      </c>
      <c r="C290" s="2" t="s">
        <v>111</v>
      </c>
      <c r="D290" s="214"/>
      <c r="E290" s="213" t="s">
        <v>109</v>
      </c>
      <c r="F290" s="17">
        <f>8*4</f>
        <v>32</v>
      </c>
      <c r="G290" s="127">
        <v>0.1</v>
      </c>
      <c r="H290" s="33">
        <f>F290*(1+G290)</f>
        <v>35.200000000000003</v>
      </c>
      <c r="I290" s="34" t="s">
        <v>15</v>
      </c>
      <c r="J290" s="204">
        <f>J$148</f>
        <v>0</v>
      </c>
      <c r="K290" s="205">
        <f>J290*H290</f>
        <v>0</v>
      </c>
      <c r="L290" s="206"/>
    </row>
    <row r="291" spans="1:12" s="187" customFormat="1" x14ac:dyDescent="0.2">
      <c r="A291" s="111">
        <f>IF(F291&lt;&gt;"",1+MAX($A$7:A290),"")</f>
        <v>108</v>
      </c>
      <c r="B291" s="2" t="s">
        <v>112</v>
      </c>
      <c r="C291" s="2" t="s">
        <v>111</v>
      </c>
      <c r="D291" s="212"/>
      <c r="E291" s="213" t="s">
        <v>119</v>
      </c>
      <c r="F291" s="17">
        <f>8*9.75</f>
        <v>78</v>
      </c>
      <c r="G291" s="127">
        <v>0.1</v>
      </c>
      <c r="H291" s="33">
        <f>F291*(1+G291)</f>
        <v>85.800000000000011</v>
      </c>
      <c r="I291" s="34" t="s">
        <v>18</v>
      </c>
      <c r="J291" s="204">
        <f>J$226</f>
        <v>0</v>
      </c>
      <c r="K291" s="205">
        <f>J291*H291</f>
        <v>0</v>
      </c>
      <c r="L291" s="206"/>
    </row>
    <row r="292" spans="1:12" s="187" customFormat="1" x14ac:dyDescent="0.2">
      <c r="A292" s="111">
        <f>IF(F292&lt;&gt;"",1+MAX($A$7:A291),"")</f>
        <v>109</v>
      </c>
      <c r="B292" s="2" t="s">
        <v>112</v>
      </c>
      <c r="C292" s="2" t="s">
        <v>111</v>
      </c>
      <c r="D292" s="212"/>
      <c r="E292" s="213" t="s">
        <v>123</v>
      </c>
      <c r="F292" s="17">
        <f>8*9.75</f>
        <v>78</v>
      </c>
      <c r="G292" s="127">
        <v>0.1</v>
      </c>
      <c r="H292" s="33">
        <f>F292*(1+G292)</f>
        <v>85.800000000000011</v>
      </c>
      <c r="I292" s="34" t="s">
        <v>18</v>
      </c>
      <c r="J292" s="204">
        <f>J$202</f>
        <v>0</v>
      </c>
      <c r="K292" s="205">
        <f>J292*H292</f>
        <v>0</v>
      </c>
      <c r="L292" s="206"/>
    </row>
    <row r="293" spans="1:12" s="187" customFormat="1" x14ac:dyDescent="0.2">
      <c r="A293" s="111" t="str">
        <f>IF(F293&lt;&gt;"",1+MAX($A$7:A292),"")</f>
        <v/>
      </c>
      <c r="B293" s="2"/>
      <c r="C293" s="2"/>
      <c r="D293" s="214"/>
      <c r="E293" s="213"/>
      <c r="F293" s="17"/>
      <c r="G293" s="127"/>
      <c r="H293" s="33"/>
      <c r="I293" s="34"/>
      <c r="J293" s="204"/>
      <c r="K293" s="205"/>
      <c r="L293" s="206"/>
    </row>
    <row r="294" spans="1:12" s="187" customFormat="1" x14ac:dyDescent="0.2">
      <c r="A294" s="111" t="str">
        <f>IF(F294&lt;&gt;"",1+MAX($A$7:A293),"")</f>
        <v/>
      </c>
      <c r="B294" s="207"/>
      <c r="C294" s="207"/>
      <c r="D294" s="201"/>
      <c r="E294" s="208" t="s">
        <v>132</v>
      </c>
      <c r="F294" s="203"/>
      <c r="G294" s="25"/>
      <c r="H294" s="209"/>
      <c r="I294" s="5"/>
      <c r="J294" s="210"/>
      <c r="K294" s="211"/>
      <c r="L294" s="206"/>
    </row>
    <row r="295" spans="1:12" s="187" customFormat="1" x14ac:dyDescent="0.2">
      <c r="A295" s="111">
        <f>IF(F295&lt;&gt;"",1+MAX($A$7:A294),"")</f>
        <v>110</v>
      </c>
      <c r="B295" s="2" t="s">
        <v>112</v>
      </c>
      <c r="C295" s="2" t="s">
        <v>111</v>
      </c>
      <c r="D295" s="212"/>
      <c r="E295" s="213" t="s">
        <v>122</v>
      </c>
      <c r="F295" s="17">
        <f>37.3*9.75</f>
        <v>363.67499999999995</v>
      </c>
      <c r="G295" s="127">
        <v>0.1</v>
      </c>
      <c r="H295" s="33">
        <f>F295*(1+G295)</f>
        <v>400.04249999999996</v>
      </c>
      <c r="I295" s="34" t="s">
        <v>18</v>
      </c>
      <c r="J295" s="204">
        <f>J$143</f>
        <v>0</v>
      </c>
      <c r="K295" s="205">
        <f>J295*H295</f>
        <v>0</v>
      </c>
      <c r="L295" s="206"/>
    </row>
    <row r="296" spans="1:12" s="187" customFormat="1" x14ac:dyDescent="0.2">
      <c r="A296" s="111" t="str">
        <f>IF(F296&lt;&gt;"",1+MAX($A$7:A295),"")</f>
        <v/>
      </c>
      <c r="B296" s="45"/>
      <c r="C296" s="45"/>
      <c r="D296" s="214"/>
      <c r="E296" s="215" t="s">
        <v>48</v>
      </c>
      <c r="F296" s="216"/>
      <c r="G296" s="217"/>
      <c r="H296" s="33">
        <f>ROUNDUP((H295)/32,0)</f>
        <v>13</v>
      </c>
      <c r="I296" s="34" t="s">
        <v>49</v>
      </c>
      <c r="J296" s="204"/>
      <c r="K296" s="205"/>
      <c r="L296" s="206"/>
    </row>
    <row r="297" spans="1:12" s="187" customFormat="1" x14ac:dyDescent="0.2">
      <c r="A297" s="111" t="str">
        <f>IF(F297&lt;&gt;"",1+MAX($A$7:A296),"")</f>
        <v/>
      </c>
      <c r="B297" s="45"/>
      <c r="C297" s="45"/>
      <c r="D297" s="214"/>
      <c r="E297" s="215" t="s">
        <v>50</v>
      </c>
      <c r="F297" s="216"/>
      <c r="G297" s="217"/>
      <c r="H297" s="33">
        <f>ROUNDUP(H296*24/500,0)</f>
        <v>1</v>
      </c>
      <c r="I297" s="34" t="s">
        <v>51</v>
      </c>
      <c r="J297" s="204"/>
      <c r="K297" s="205"/>
      <c r="L297" s="206"/>
    </row>
    <row r="298" spans="1:12" s="187" customFormat="1" x14ac:dyDescent="0.2">
      <c r="A298" s="111" t="str">
        <f>IF(F298&lt;&gt;"",1+MAX($A$7:A297),"")</f>
        <v/>
      </c>
      <c r="B298" s="45"/>
      <c r="C298" s="45"/>
      <c r="D298" s="214"/>
      <c r="E298" s="215" t="s">
        <v>52</v>
      </c>
      <c r="F298" s="216"/>
      <c r="G298" s="217"/>
      <c r="H298" s="218">
        <f>ROUNDUP((H295)/200,0)</f>
        <v>3</v>
      </c>
      <c r="I298" s="34" t="s">
        <v>53</v>
      </c>
      <c r="J298" s="204"/>
      <c r="K298" s="205"/>
      <c r="L298" s="206"/>
    </row>
    <row r="299" spans="1:12" s="187" customFormat="1" x14ac:dyDescent="0.2">
      <c r="A299" s="111" t="str">
        <f>IF(F299&lt;&gt;"",1+MAX($A$7:A298),"")</f>
        <v/>
      </c>
      <c r="B299" s="45"/>
      <c r="C299" s="45"/>
      <c r="D299" s="214"/>
      <c r="E299" s="215" t="s">
        <v>54</v>
      </c>
      <c r="F299" s="216"/>
      <c r="G299" s="217"/>
      <c r="H299" s="218">
        <f>ROUNDUP((H295)*5.25/1000,0)</f>
        <v>3</v>
      </c>
      <c r="I299" s="34" t="s">
        <v>55</v>
      </c>
      <c r="J299" s="204"/>
      <c r="K299" s="205"/>
      <c r="L299" s="206"/>
    </row>
    <row r="300" spans="1:12" s="187" customFormat="1" x14ac:dyDescent="0.2">
      <c r="A300" s="111">
        <f>IF(F300&lt;&gt;"",1+MAX($A$7:A299),"")</f>
        <v>111</v>
      </c>
      <c r="B300" s="2" t="s">
        <v>112</v>
      </c>
      <c r="C300" s="2" t="s">
        <v>111</v>
      </c>
      <c r="D300" s="212"/>
      <c r="E300" s="213" t="s">
        <v>108</v>
      </c>
      <c r="F300" s="17">
        <f>41.2*9.75</f>
        <v>401.70000000000005</v>
      </c>
      <c r="G300" s="127">
        <v>0.1</v>
      </c>
      <c r="H300" s="33">
        <f>F300*(1+G300)</f>
        <v>441.87000000000006</v>
      </c>
      <c r="I300" s="34" t="s">
        <v>18</v>
      </c>
      <c r="J300" s="204">
        <f>J$160</f>
        <v>0</v>
      </c>
      <c r="K300" s="205">
        <f>J300*H300</f>
        <v>0</v>
      </c>
      <c r="L300" s="206"/>
    </row>
    <row r="301" spans="1:12" s="187" customFormat="1" x14ac:dyDescent="0.2">
      <c r="A301" s="111" t="str">
        <f>IF(F301&lt;&gt;"",1+MAX($A$7:A300),"")</f>
        <v/>
      </c>
      <c r="B301" s="45"/>
      <c r="C301" s="45"/>
      <c r="D301" s="214"/>
      <c r="E301" s="215" t="s">
        <v>48</v>
      </c>
      <c r="F301" s="216"/>
      <c r="G301" s="217"/>
      <c r="H301" s="33">
        <f>ROUNDUP((H300)/32,0)</f>
        <v>14</v>
      </c>
      <c r="I301" s="34" t="s">
        <v>49</v>
      </c>
      <c r="J301" s="204"/>
      <c r="K301" s="205"/>
      <c r="L301" s="206"/>
    </row>
    <row r="302" spans="1:12" s="187" customFormat="1" x14ac:dyDescent="0.2">
      <c r="A302" s="111" t="str">
        <f>IF(F302&lt;&gt;"",1+MAX($A$7:A301),"")</f>
        <v/>
      </c>
      <c r="B302" s="45"/>
      <c r="C302" s="45"/>
      <c r="D302" s="214"/>
      <c r="E302" s="215" t="s">
        <v>50</v>
      </c>
      <c r="F302" s="216"/>
      <c r="G302" s="217"/>
      <c r="H302" s="33">
        <f>ROUNDUP(H301*24/500,0)</f>
        <v>1</v>
      </c>
      <c r="I302" s="34" t="s">
        <v>51</v>
      </c>
      <c r="J302" s="204"/>
      <c r="K302" s="205"/>
      <c r="L302" s="206"/>
    </row>
    <row r="303" spans="1:12" s="187" customFormat="1" x14ac:dyDescent="0.2">
      <c r="A303" s="111" t="str">
        <f>IF(F303&lt;&gt;"",1+MAX($A$7:A302),"")</f>
        <v/>
      </c>
      <c r="B303" s="45"/>
      <c r="C303" s="45"/>
      <c r="D303" s="214"/>
      <c r="E303" s="215" t="s">
        <v>52</v>
      </c>
      <c r="F303" s="216"/>
      <c r="G303" s="217"/>
      <c r="H303" s="218">
        <f>ROUNDUP((H300)/200,0)</f>
        <v>3</v>
      </c>
      <c r="I303" s="34" t="s">
        <v>53</v>
      </c>
      <c r="J303" s="204"/>
      <c r="K303" s="205"/>
      <c r="L303" s="206"/>
    </row>
    <row r="304" spans="1:12" s="187" customFormat="1" x14ac:dyDescent="0.2">
      <c r="A304" s="111" t="str">
        <f>IF(F304&lt;&gt;"",1+MAX($A$7:A303),"")</f>
        <v/>
      </c>
      <c r="B304" s="45"/>
      <c r="C304" s="45"/>
      <c r="D304" s="214"/>
      <c r="E304" s="215" t="s">
        <v>54</v>
      </c>
      <c r="F304" s="216"/>
      <c r="G304" s="217"/>
      <c r="H304" s="218">
        <f>ROUNDUP((H300)*5.25/1000,0)</f>
        <v>3</v>
      </c>
      <c r="I304" s="34" t="s">
        <v>55</v>
      </c>
      <c r="J304" s="204"/>
      <c r="K304" s="205"/>
      <c r="L304" s="206"/>
    </row>
    <row r="305" spans="1:12" s="187" customFormat="1" x14ac:dyDescent="0.2">
      <c r="A305" s="111">
        <f>IF(F305&lt;&gt;"",1+MAX($A$7:A304),"")</f>
        <v>112</v>
      </c>
      <c r="B305" s="2" t="s">
        <v>112</v>
      </c>
      <c r="C305" s="2" t="s">
        <v>111</v>
      </c>
      <c r="D305" s="214"/>
      <c r="E305" s="213" t="s">
        <v>109</v>
      </c>
      <c r="F305" s="17">
        <f>78.5*2</f>
        <v>157</v>
      </c>
      <c r="G305" s="127">
        <v>0.1</v>
      </c>
      <c r="H305" s="33">
        <f>F305*(1+G305)</f>
        <v>172.70000000000002</v>
      </c>
      <c r="I305" s="34" t="s">
        <v>15</v>
      </c>
      <c r="J305" s="204">
        <f>J$148</f>
        <v>0</v>
      </c>
      <c r="K305" s="205">
        <f>J305*H305</f>
        <v>0</v>
      </c>
      <c r="L305" s="206"/>
    </row>
    <row r="306" spans="1:12" s="187" customFormat="1" x14ac:dyDescent="0.2">
      <c r="A306" s="111">
        <f>IF(F306&lt;&gt;"",1+MAX($A$7:A305),"")</f>
        <v>113</v>
      </c>
      <c r="B306" s="2" t="s">
        <v>112</v>
      </c>
      <c r="C306" s="2" t="s">
        <v>111</v>
      </c>
      <c r="D306" s="212"/>
      <c r="E306" s="213" t="s">
        <v>133</v>
      </c>
      <c r="F306" s="17">
        <f>78.5*9.75</f>
        <v>765.375</v>
      </c>
      <c r="G306" s="127">
        <v>0.1</v>
      </c>
      <c r="H306" s="33">
        <f>F306*(1+G306)</f>
        <v>841.91250000000002</v>
      </c>
      <c r="I306" s="34" t="s">
        <v>18</v>
      </c>
      <c r="J306" s="204">
        <f>J$149</f>
        <v>0</v>
      </c>
      <c r="K306" s="205">
        <f>J306*H306</f>
        <v>0</v>
      </c>
      <c r="L306" s="206"/>
    </row>
    <row r="307" spans="1:12" s="187" customFormat="1" x14ac:dyDescent="0.2">
      <c r="A307" s="111" t="str">
        <f>IF(F307&lt;&gt;"",1+MAX($A$7:A306),"")</f>
        <v/>
      </c>
      <c r="B307" s="2"/>
      <c r="C307" s="2"/>
      <c r="D307" s="214"/>
      <c r="E307" s="243" t="s">
        <v>56</v>
      </c>
      <c r="F307" s="17"/>
      <c r="G307" s="127"/>
      <c r="H307" s="33">
        <f>(78.5/1.167+1)</f>
        <v>68.266495287060835</v>
      </c>
      <c r="I307" s="34" t="s">
        <v>20</v>
      </c>
      <c r="J307" s="204"/>
      <c r="K307" s="205"/>
      <c r="L307" s="206"/>
    </row>
    <row r="308" spans="1:12" s="187" customFormat="1" x14ac:dyDescent="0.2">
      <c r="A308" s="111">
        <f>IF(F308&lt;&gt;"",1+MAX($A$7:A307),"")</f>
        <v>114</v>
      </c>
      <c r="B308" s="2" t="s">
        <v>112</v>
      </c>
      <c r="C308" s="2" t="s">
        <v>111</v>
      </c>
      <c r="D308" s="214"/>
      <c r="E308" s="213" t="s">
        <v>134</v>
      </c>
      <c r="F308" s="17">
        <f>78.5*2</f>
        <v>157</v>
      </c>
      <c r="G308" s="127">
        <v>0.1</v>
      </c>
      <c r="H308" s="33">
        <f>F308*(1+G308)</f>
        <v>172.70000000000002</v>
      </c>
      <c r="I308" s="34" t="s">
        <v>15</v>
      </c>
      <c r="J308" s="204">
        <f>J$151</f>
        <v>0</v>
      </c>
      <c r="K308" s="205">
        <f>J308*H308</f>
        <v>0</v>
      </c>
      <c r="L308" s="206"/>
    </row>
    <row r="309" spans="1:12" s="187" customFormat="1" x14ac:dyDescent="0.2">
      <c r="A309" s="111">
        <f>IF(F309&lt;&gt;"",1+MAX($A$7:A308),"")</f>
        <v>115</v>
      </c>
      <c r="B309" s="2" t="s">
        <v>112</v>
      </c>
      <c r="C309" s="2" t="s">
        <v>111</v>
      </c>
      <c r="D309" s="214"/>
      <c r="E309" s="628" t="s">
        <v>135</v>
      </c>
      <c r="F309" s="461">
        <v>78.5</v>
      </c>
      <c r="G309" s="127">
        <v>0.1</v>
      </c>
      <c r="H309" s="33">
        <f>F309*(1+G309)</f>
        <v>86.350000000000009</v>
      </c>
      <c r="I309" s="34" t="s">
        <v>15</v>
      </c>
      <c r="J309" s="130">
        <v>0</v>
      </c>
      <c r="K309" s="205">
        <f>J309*H309</f>
        <v>0</v>
      </c>
      <c r="L309" s="206"/>
    </row>
    <row r="310" spans="1:12" s="187" customFormat="1" x14ac:dyDescent="0.2">
      <c r="A310" s="111" t="str">
        <f>IF(F310&lt;&gt;"",1+MAX($A$7:A309),"")</f>
        <v/>
      </c>
      <c r="B310" s="2"/>
      <c r="C310" s="2"/>
      <c r="D310" s="214"/>
      <c r="E310" s="213"/>
      <c r="F310" s="17"/>
      <c r="G310" s="127"/>
      <c r="H310" s="33"/>
      <c r="I310" s="34"/>
      <c r="J310" s="204"/>
      <c r="K310" s="205"/>
      <c r="L310" s="206"/>
    </row>
    <row r="311" spans="1:12" s="187" customFormat="1" x14ac:dyDescent="0.2">
      <c r="A311" s="111" t="str">
        <f>IF(F311&lt;&gt;"",1+MAX($A$7:A310),"")</f>
        <v/>
      </c>
      <c r="B311" s="207"/>
      <c r="C311" s="207"/>
      <c r="D311" s="201"/>
      <c r="E311" s="208" t="s">
        <v>136</v>
      </c>
      <c r="F311" s="203"/>
      <c r="G311" s="25"/>
      <c r="H311" s="209"/>
      <c r="I311" s="5"/>
      <c r="J311" s="210"/>
      <c r="K311" s="211"/>
      <c r="L311" s="206"/>
    </row>
    <row r="312" spans="1:12" s="187" customFormat="1" x14ac:dyDescent="0.2">
      <c r="A312" s="111">
        <f>IF(F312&lt;&gt;"",1+MAX($A$7:A311),"")</f>
        <v>116</v>
      </c>
      <c r="B312" s="2" t="s">
        <v>112</v>
      </c>
      <c r="C312" s="2" t="s">
        <v>111</v>
      </c>
      <c r="D312" s="212"/>
      <c r="E312" s="213" t="s">
        <v>122</v>
      </c>
      <c r="F312" s="17">
        <f>132.9*9.75</f>
        <v>1295.7750000000001</v>
      </c>
      <c r="G312" s="127">
        <v>0.1</v>
      </c>
      <c r="H312" s="33">
        <f>F312*(1+G312)</f>
        <v>1425.3525000000002</v>
      </c>
      <c r="I312" s="34" t="s">
        <v>18</v>
      </c>
      <c r="J312" s="204">
        <f>J$143</f>
        <v>0</v>
      </c>
      <c r="K312" s="205">
        <f>J312*H312</f>
        <v>0</v>
      </c>
      <c r="L312" s="206"/>
    </row>
    <row r="313" spans="1:12" s="187" customFormat="1" x14ac:dyDescent="0.2">
      <c r="A313" s="111" t="str">
        <f>IF(F313&lt;&gt;"",1+MAX($A$7:A312),"")</f>
        <v/>
      </c>
      <c r="B313" s="45"/>
      <c r="C313" s="45"/>
      <c r="D313" s="214"/>
      <c r="E313" s="215" t="s">
        <v>48</v>
      </c>
      <c r="F313" s="216"/>
      <c r="G313" s="217"/>
      <c r="H313" s="33">
        <f>ROUNDUP((H312)/32,0)</f>
        <v>45</v>
      </c>
      <c r="I313" s="34" t="s">
        <v>49</v>
      </c>
      <c r="J313" s="204"/>
      <c r="K313" s="205"/>
      <c r="L313" s="206"/>
    </row>
    <row r="314" spans="1:12" s="187" customFormat="1" x14ac:dyDescent="0.2">
      <c r="A314" s="111" t="str">
        <f>IF(F314&lt;&gt;"",1+MAX($A$7:A313),"")</f>
        <v/>
      </c>
      <c r="B314" s="45"/>
      <c r="C314" s="45"/>
      <c r="D314" s="214"/>
      <c r="E314" s="215" t="s">
        <v>50</v>
      </c>
      <c r="F314" s="216"/>
      <c r="G314" s="217"/>
      <c r="H314" s="33">
        <f>ROUNDUP(H313*24/500,0)</f>
        <v>3</v>
      </c>
      <c r="I314" s="34" t="s">
        <v>51</v>
      </c>
      <c r="J314" s="204"/>
      <c r="K314" s="205"/>
      <c r="L314" s="206"/>
    </row>
    <row r="315" spans="1:12" s="187" customFormat="1" x14ac:dyDescent="0.2">
      <c r="A315" s="111" t="str">
        <f>IF(F315&lt;&gt;"",1+MAX($A$7:A314),"")</f>
        <v/>
      </c>
      <c r="B315" s="45"/>
      <c r="C315" s="45"/>
      <c r="D315" s="214"/>
      <c r="E315" s="215" t="s">
        <v>52</v>
      </c>
      <c r="F315" s="216"/>
      <c r="G315" s="217"/>
      <c r="H315" s="218">
        <f>ROUNDUP((H312)/200,0)</f>
        <v>8</v>
      </c>
      <c r="I315" s="34" t="s">
        <v>53</v>
      </c>
      <c r="J315" s="204"/>
      <c r="K315" s="205"/>
      <c r="L315" s="206"/>
    </row>
    <row r="316" spans="1:12" s="187" customFormat="1" x14ac:dyDescent="0.2">
      <c r="A316" s="111" t="str">
        <f>IF(F316&lt;&gt;"",1+MAX($A$7:A315),"")</f>
        <v/>
      </c>
      <c r="B316" s="45"/>
      <c r="C316" s="45"/>
      <c r="D316" s="214"/>
      <c r="E316" s="215" t="s">
        <v>54</v>
      </c>
      <c r="F316" s="216"/>
      <c r="G316" s="217"/>
      <c r="H316" s="218">
        <f>ROUNDUP((H312)*5.25/1000,0)</f>
        <v>8</v>
      </c>
      <c r="I316" s="34" t="s">
        <v>55</v>
      </c>
      <c r="J316" s="204"/>
      <c r="K316" s="205"/>
      <c r="L316" s="206"/>
    </row>
    <row r="317" spans="1:12" s="187" customFormat="1" x14ac:dyDescent="0.2">
      <c r="A317" s="111">
        <f>IF(F317&lt;&gt;"",1+MAX($A$7:A316),"")</f>
        <v>117</v>
      </c>
      <c r="B317" s="2" t="s">
        <v>112</v>
      </c>
      <c r="C317" s="2" t="s">
        <v>111</v>
      </c>
      <c r="D317" s="212"/>
      <c r="E317" s="213" t="s">
        <v>108</v>
      </c>
      <c r="F317" s="17">
        <f>5.6*9.75</f>
        <v>54.599999999999994</v>
      </c>
      <c r="G317" s="127">
        <v>0.1</v>
      </c>
      <c r="H317" s="33">
        <f>F317*(1+G317)</f>
        <v>60.059999999999995</v>
      </c>
      <c r="I317" s="34" t="s">
        <v>18</v>
      </c>
      <c r="J317" s="204">
        <f>J$160</f>
        <v>0</v>
      </c>
      <c r="K317" s="205">
        <f>J317*H317</f>
        <v>0</v>
      </c>
      <c r="L317" s="206"/>
    </row>
    <row r="318" spans="1:12" s="187" customFormat="1" x14ac:dyDescent="0.2">
      <c r="A318" s="111" t="str">
        <f>IF(F318&lt;&gt;"",1+MAX($A$7:A317),"")</f>
        <v/>
      </c>
      <c r="B318" s="45"/>
      <c r="C318" s="45"/>
      <c r="D318" s="214"/>
      <c r="E318" s="215" t="s">
        <v>48</v>
      </c>
      <c r="F318" s="216"/>
      <c r="G318" s="217"/>
      <c r="H318" s="33">
        <f>ROUNDUP((H317)/32,0)</f>
        <v>2</v>
      </c>
      <c r="I318" s="34" t="s">
        <v>49</v>
      </c>
      <c r="J318" s="204"/>
      <c r="K318" s="205"/>
      <c r="L318" s="206"/>
    </row>
    <row r="319" spans="1:12" s="187" customFormat="1" x14ac:dyDescent="0.2">
      <c r="A319" s="111" t="str">
        <f>IF(F319&lt;&gt;"",1+MAX($A$7:A318),"")</f>
        <v/>
      </c>
      <c r="B319" s="45"/>
      <c r="C319" s="45"/>
      <c r="D319" s="214"/>
      <c r="E319" s="215" t="s">
        <v>50</v>
      </c>
      <c r="F319" s="216"/>
      <c r="G319" s="217"/>
      <c r="H319" s="33">
        <f>ROUNDUP(H318*24/500,0)</f>
        <v>1</v>
      </c>
      <c r="I319" s="34" t="s">
        <v>51</v>
      </c>
      <c r="J319" s="204"/>
      <c r="K319" s="205"/>
      <c r="L319" s="206"/>
    </row>
    <row r="320" spans="1:12" s="187" customFormat="1" x14ac:dyDescent="0.2">
      <c r="A320" s="111" t="str">
        <f>IF(F320&lt;&gt;"",1+MAX($A$7:A319),"")</f>
        <v/>
      </c>
      <c r="B320" s="45"/>
      <c r="C320" s="45"/>
      <c r="D320" s="214"/>
      <c r="E320" s="215" t="s">
        <v>52</v>
      </c>
      <c r="F320" s="216"/>
      <c r="G320" s="217"/>
      <c r="H320" s="218">
        <f>ROUNDUP((H317)/200,0)</f>
        <v>1</v>
      </c>
      <c r="I320" s="34" t="s">
        <v>53</v>
      </c>
      <c r="J320" s="204"/>
      <c r="K320" s="205"/>
      <c r="L320" s="206"/>
    </row>
    <row r="321" spans="1:12" s="187" customFormat="1" x14ac:dyDescent="0.2">
      <c r="A321" s="111" t="str">
        <f>IF(F321&lt;&gt;"",1+MAX($A$7:A320),"")</f>
        <v/>
      </c>
      <c r="B321" s="45"/>
      <c r="C321" s="45"/>
      <c r="D321" s="214"/>
      <c r="E321" s="215" t="s">
        <v>54</v>
      </c>
      <c r="F321" s="216"/>
      <c r="G321" s="217"/>
      <c r="H321" s="218">
        <f>ROUNDUP((H317)*5.25/1000,0)</f>
        <v>1</v>
      </c>
      <c r="I321" s="34" t="s">
        <v>55</v>
      </c>
      <c r="J321" s="204"/>
      <c r="K321" s="205"/>
      <c r="L321" s="206"/>
    </row>
    <row r="322" spans="1:12" s="187" customFormat="1" x14ac:dyDescent="0.2">
      <c r="A322" s="111">
        <f>IF(F322&lt;&gt;"",1+MAX($A$7:A321),"")</f>
        <v>118</v>
      </c>
      <c r="B322" s="2" t="s">
        <v>112</v>
      </c>
      <c r="C322" s="2" t="s">
        <v>111</v>
      </c>
      <c r="D322" s="214"/>
      <c r="E322" s="213" t="s">
        <v>109</v>
      </c>
      <c r="F322" s="17">
        <f>138.5*2</f>
        <v>277</v>
      </c>
      <c r="G322" s="127">
        <v>0.1</v>
      </c>
      <c r="H322" s="33">
        <f>F322*(1+G322)</f>
        <v>304.70000000000005</v>
      </c>
      <c r="I322" s="34" t="s">
        <v>15</v>
      </c>
      <c r="J322" s="204">
        <f>J$148</f>
        <v>0</v>
      </c>
      <c r="K322" s="205">
        <f>J322*H322</f>
        <v>0</v>
      </c>
      <c r="L322" s="206"/>
    </row>
    <row r="323" spans="1:12" s="187" customFormat="1" x14ac:dyDescent="0.2">
      <c r="A323" s="111">
        <f>IF(F323&lt;&gt;"",1+MAX($A$7:A322),"")</f>
        <v>119</v>
      </c>
      <c r="B323" s="2" t="s">
        <v>112</v>
      </c>
      <c r="C323" s="2" t="s">
        <v>111</v>
      </c>
      <c r="D323" s="212"/>
      <c r="E323" s="213" t="s">
        <v>137</v>
      </c>
      <c r="F323" s="17">
        <f>138.5*9.75</f>
        <v>1350.375</v>
      </c>
      <c r="G323" s="127">
        <v>0.1</v>
      </c>
      <c r="H323" s="33">
        <f>F323*(1+G323)</f>
        <v>1485.4125000000001</v>
      </c>
      <c r="I323" s="34" t="s">
        <v>18</v>
      </c>
      <c r="J323" s="130">
        <v>0</v>
      </c>
      <c r="K323" s="205">
        <f>J323*H323</f>
        <v>0</v>
      </c>
      <c r="L323" s="206"/>
    </row>
    <row r="324" spans="1:12" s="187" customFormat="1" x14ac:dyDescent="0.2">
      <c r="A324" s="111" t="str">
        <f>IF(F324&lt;&gt;"",1+MAX($A$7:A323),"")</f>
        <v/>
      </c>
      <c r="B324" s="2"/>
      <c r="C324" s="2"/>
      <c r="D324" s="214"/>
      <c r="E324" s="243" t="s">
        <v>56</v>
      </c>
      <c r="F324" s="17"/>
      <c r="G324" s="127"/>
      <c r="H324" s="33">
        <f>(138.5/1.167+1)</f>
        <v>119.68037703513282</v>
      </c>
      <c r="I324" s="34" t="s">
        <v>20</v>
      </c>
      <c r="J324" s="204"/>
      <c r="K324" s="205"/>
      <c r="L324" s="206"/>
    </row>
    <row r="325" spans="1:12" s="187" customFormat="1" x14ac:dyDescent="0.2">
      <c r="A325" s="111">
        <f>IF(F325&lt;&gt;"",1+MAX($A$7:A324),"")</f>
        <v>120</v>
      </c>
      <c r="B325" s="2" t="s">
        <v>112</v>
      </c>
      <c r="C325" s="2" t="s">
        <v>111</v>
      </c>
      <c r="D325" s="214"/>
      <c r="E325" s="213" t="s">
        <v>138</v>
      </c>
      <c r="F325" s="17">
        <f>138.5*2</f>
        <v>277</v>
      </c>
      <c r="G325" s="127">
        <v>0.1</v>
      </c>
      <c r="H325" s="33">
        <f>F325*(1+G325)</f>
        <v>304.70000000000005</v>
      </c>
      <c r="I325" s="34" t="s">
        <v>15</v>
      </c>
      <c r="J325" s="130">
        <v>0</v>
      </c>
      <c r="K325" s="205">
        <f>J325*H325</f>
        <v>0</v>
      </c>
      <c r="L325" s="206"/>
    </row>
    <row r="326" spans="1:12" s="187" customFormat="1" x14ac:dyDescent="0.2">
      <c r="A326" s="111">
        <f>IF(F326&lt;&gt;"",1+MAX($A$7:A325),"")</f>
        <v>121</v>
      </c>
      <c r="B326" s="2" t="s">
        <v>112</v>
      </c>
      <c r="C326" s="2" t="s">
        <v>111</v>
      </c>
      <c r="D326" s="214"/>
      <c r="E326" s="628" t="s">
        <v>135</v>
      </c>
      <c r="F326" s="461">
        <f>138.5</f>
        <v>138.5</v>
      </c>
      <c r="G326" s="127">
        <v>0.1</v>
      </c>
      <c r="H326" s="33">
        <f>F326*(1+G326)</f>
        <v>152.35000000000002</v>
      </c>
      <c r="I326" s="34" t="s">
        <v>15</v>
      </c>
      <c r="J326" s="204">
        <f>J$309</f>
        <v>0</v>
      </c>
      <c r="K326" s="205">
        <f>J326*H326</f>
        <v>0</v>
      </c>
      <c r="L326" s="206"/>
    </row>
    <row r="327" spans="1:12" s="187" customFormat="1" x14ac:dyDescent="0.2">
      <c r="A327" s="111" t="str">
        <f>IF(F327&lt;&gt;"",1+MAX($A$7:A326),"")</f>
        <v/>
      </c>
      <c r="B327" s="2"/>
      <c r="C327" s="2"/>
      <c r="D327" s="214"/>
      <c r="E327" s="213"/>
      <c r="F327" s="17"/>
      <c r="G327" s="127"/>
      <c r="H327" s="33"/>
      <c r="I327" s="34"/>
      <c r="J327" s="204"/>
      <c r="K327" s="205"/>
      <c r="L327" s="206"/>
    </row>
    <row r="328" spans="1:12" s="187" customFormat="1" x14ac:dyDescent="0.2">
      <c r="A328" s="111" t="str">
        <f>IF(F328&lt;&gt;"",1+MAX($A$7:A327),"")</f>
        <v/>
      </c>
      <c r="B328" s="207"/>
      <c r="C328" s="207"/>
      <c r="D328" s="201"/>
      <c r="E328" s="208" t="s">
        <v>139</v>
      </c>
      <c r="F328" s="203"/>
      <c r="G328" s="25"/>
      <c r="H328" s="209"/>
      <c r="I328" s="5"/>
      <c r="J328" s="210"/>
      <c r="K328" s="211"/>
      <c r="L328" s="206"/>
    </row>
    <row r="329" spans="1:12" s="187" customFormat="1" x14ac:dyDescent="0.2">
      <c r="A329" s="111">
        <f>IF(F329&lt;&gt;"",1+MAX($A$7:A328),"")</f>
        <v>122</v>
      </c>
      <c r="B329" s="2" t="s">
        <v>112</v>
      </c>
      <c r="C329" s="2" t="s">
        <v>111</v>
      </c>
      <c r="D329" s="212"/>
      <c r="E329" s="213" t="s">
        <v>107</v>
      </c>
      <c r="F329" s="17">
        <f>18.9*9.75*2</f>
        <v>368.54999999999995</v>
      </c>
      <c r="G329" s="127">
        <v>0.1</v>
      </c>
      <c r="H329" s="33">
        <f>F329*(1+G329)</f>
        <v>405.40499999999997</v>
      </c>
      <c r="I329" s="34" t="s">
        <v>18</v>
      </c>
      <c r="J329" s="204">
        <f>J$143</f>
        <v>0</v>
      </c>
      <c r="K329" s="205">
        <f>J329*H329</f>
        <v>0</v>
      </c>
      <c r="L329" s="206"/>
    </row>
    <row r="330" spans="1:12" s="187" customFormat="1" x14ac:dyDescent="0.2">
      <c r="A330" s="111" t="str">
        <f>IF(F330&lt;&gt;"",1+MAX($A$7:A329),"")</f>
        <v/>
      </c>
      <c r="B330" s="45"/>
      <c r="C330" s="45"/>
      <c r="D330" s="214"/>
      <c r="E330" s="215" t="s">
        <v>48</v>
      </c>
      <c r="F330" s="216"/>
      <c r="G330" s="217"/>
      <c r="H330" s="33">
        <f>ROUNDUP((H329)/32,0)</f>
        <v>13</v>
      </c>
      <c r="I330" s="34" t="s">
        <v>49</v>
      </c>
      <c r="J330" s="204"/>
      <c r="K330" s="205"/>
      <c r="L330" s="206"/>
    </row>
    <row r="331" spans="1:12" s="187" customFormat="1" x14ac:dyDescent="0.2">
      <c r="A331" s="111" t="str">
        <f>IF(F331&lt;&gt;"",1+MAX($A$7:A330),"")</f>
        <v/>
      </c>
      <c r="B331" s="45"/>
      <c r="C331" s="45"/>
      <c r="D331" s="214"/>
      <c r="E331" s="215" t="s">
        <v>50</v>
      </c>
      <c r="F331" s="216"/>
      <c r="G331" s="217"/>
      <c r="H331" s="33">
        <f>ROUNDUP(H330*24/500,0)</f>
        <v>1</v>
      </c>
      <c r="I331" s="34" t="s">
        <v>51</v>
      </c>
      <c r="J331" s="204"/>
      <c r="K331" s="205"/>
      <c r="L331" s="206"/>
    </row>
    <row r="332" spans="1:12" s="187" customFormat="1" x14ac:dyDescent="0.2">
      <c r="A332" s="111" t="str">
        <f>IF(F332&lt;&gt;"",1+MAX($A$7:A331),"")</f>
        <v/>
      </c>
      <c r="B332" s="45"/>
      <c r="C332" s="45"/>
      <c r="D332" s="214"/>
      <c r="E332" s="215" t="s">
        <v>52</v>
      </c>
      <c r="F332" s="216"/>
      <c r="G332" s="217"/>
      <c r="H332" s="218">
        <f>ROUNDUP((H329)/200,0)</f>
        <v>3</v>
      </c>
      <c r="I332" s="34" t="s">
        <v>53</v>
      </c>
      <c r="J332" s="204"/>
      <c r="K332" s="205"/>
      <c r="L332" s="206"/>
    </row>
    <row r="333" spans="1:12" s="187" customFormat="1" x14ac:dyDescent="0.2">
      <c r="A333" s="111" t="str">
        <f>IF(F333&lt;&gt;"",1+MAX($A$7:A332),"")</f>
        <v/>
      </c>
      <c r="B333" s="45"/>
      <c r="C333" s="45"/>
      <c r="D333" s="214"/>
      <c r="E333" s="215" t="s">
        <v>54</v>
      </c>
      <c r="F333" s="216"/>
      <c r="G333" s="217"/>
      <c r="H333" s="218">
        <f>ROUNDUP((H329)*5.25/1000,0)</f>
        <v>3</v>
      </c>
      <c r="I333" s="34" t="s">
        <v>55</v>
      </c>
      <c r="J333" s="204"/>
      <c r="K333" s="205"/>
      <c r="L333" s="206"/>
    </row>
    <row r="334" spans="1:12" s="187" customFormat="1" x14ac:dyDescent="0.2">
      <c r="A334" s="111">
        <f>IF(F334&lt;&gt;"",1+MAX($A$7:A333),"")</f>
        <v>123</v>
      </c>
      <c r="B334" s="2" t="s">
        <v>112</v>
      </c>
      <c r="C334" s="2" t="s">
        <v>111</v>
      </c>
      <c r="D334" s="214"/>
      <c r="E334" s="213" t="s">
        <v>109</v>
      </c>
      <c r="F334" s="17">
        <f>18.9*4</f>
        <v>75.599999999999994</v>
      </c>
      <c r="G334" s="127">
        <v>0.1</v>
      </c>
      <c r="H334" s="33">
        <f>F334*(1+G334)</f>
        <v>83.16</v>
      </c>
      <c r="I334" s="34" t="s">
        <v>15</v>
      </c>
      <c r="J334" s="204">
        <f>J$148</f>
        <v>0</v>
      </c>
      <c r="K334" s="205">
        <f>J334*H334</f>
        <v>0</v>
      </c>
      <c r="L334" s="206"/>
    </row>
    <row r="335" spans="1:12" s="187" customFormat="1" x14ac:dyDescent="0.2">
      <c r="A335" s="111">
        <f>IF(F335&lt;&gt;"",1+MAX($A$7:A334),"")</f>
        <v>124</v>
      </c>
      <c r="B335" s="2" t="s">
        <v>112</v>
      </c>
      <c r="C335" s="2" t="s">
        <v>111</v>
      </c>
      <c r="D335" s="212"/>
      <c r="E335" s="213" t="s">
        <v>484</v>
      </c>
      <c r="F335" s="17">
        <f>18.9*9.75</f>
        <v>184.27499999999998</v>
      </c>
      <c r="G335" s="127">
        <v>0.1</v>
      </c>
      <c r="H335" s="33">
        <f>F335*(1+G335)</f>
        <v>202.70249999999999</v>
      </c>
      <c r="I335" s="34" t="s">
        <v>18</v>
      </c>
      <c r="J335" s="204">
        <f>J$276</f>
        <v>0</v>
      </c>
      <c r="K335" s="205">
        <f>J335*H335</f>
        <v>0</v>
      </c>
      <c r="L335" s="206"/>
    </row>
    <row r="336" spans="1:12" s="187" customFormat="1" x14ac:dyDescent="0.2">
      <c r="A336" s="111">
        <f>IF(F336&lt;&gt;"",1+MAX($A$7:A335),"")</f>
        <v>125</v>
      </c>
      <c r="B336" s="2" t="s">
        <v>112</v>
      </c>
      <c r="C336" s="2" t="s">
        <v>111</v>
      </c>
      <c r="D336" s="212"/>
      <c r="E336" s="213" t="s">
        <v>123</v>
      </c>
      <c r="F336" s="17">
        <f>18.9*9.75</f>
        <v>184.27499999999998</v>
      </c>
      <c r="G336" s="127">
        <v>0.1</v>
      </c>
      <c r="H336" s="33">
        <f>F336*(1+G336)</f>
        <v>202.70249999999999</v>
      </c>
      <c r="I336" s="34" t="s">
        <v>18</v>
      </c>
      <c r="J336" s="204">
        <f>J$202</f>
        <v>0</v>
      </c>
      <c r="K336" s="205">
        <f>J336*H336</f>
        <v>0</v>
      </c>
      <c r="L336" s="206"/>
    </row>
    <row r="337" spans="1:12" s="187" customFormat="1" x14ac:dyDescent="0.2">
      <c r="A337" s="111" t="str">
        <f>IF(F337&lt;&gt;"",1+MAX($A$7:A336),"")</f>
        <v/>
      </c>
      <c r="B337" s="2"/>
      <c r="C337" s="2"/>
      <c r="D337" s="214"/>
      <c r="E337" s="213"/>
      <c r="F337" s="17"/>
      <c r="G337" s="127"/>
      <c r="H337" s="33"/>
      <c r="I337" s="34"/>
      <c r="J337" s="204"/>
      <c r="K337" s="205"/>
      <c r="L337" s="206"/>
    </row>
    <row r="338" spans="1:12" s="187" customFormat="1" x14ac:dyDescent="0.2">
      <c r="A338" s="111" t="str">
        <f>IF(F338&lt;&gt;"",1+MAX($A$7:A337),"")</f>
        <v/>
      </c>
      <c r="B338" s="207"/>
      <c r="C338" s="207"/>
      <c r="D338" s="201"/>
      <c r="E338" s="208" t="s">
        <v>142</v>
      </c>
      <c r="F338" s="203"/>
      <c r="G338" s="25"/>
      <c r="H338" s="209"/>
      <c r="I338" s="5"/>
      <c r="J338" s="210"/>
      <c r="K338" s="211"/>
      <c r="L338" s="206"/>
    </row>
    <row r="339" spans="1:12" s="187" customFormat="1" x14ac:dyDescent="0.2">
      <c r="A339" s="111">
        <f>IF(F339&lt;&gt;"",1+MAX($A$7:A338),"")</f>
        <v>126</v>
      </c>
      <c r="B339" s="2" t="s">
        <v>112</v>
      </c>
      <c r="C339" s="2" t="s">
        <v>111</v>
      </c>
      <c r="D339" s="212"/>
      <c r="E339" s="213" t="s">
        <v>107</v>
      </c>
      <c r="F339" s="17">
        <f>27*9.75*2</f>
        <v>526.5</v>
      </c>
      <c r="G339" s="127">
        <v>0.1</v>
      </c>
      <c r="H339" s="33">
        <f>F339*(1+G339)</f>
        <v>579.15000000000009</v>
      </c>
      <c r="I339" s="34" t="s">
        <v>18</v>
      </c>
      <c r="J339" s="204">
        <f>J$143</f>
        <v>0</v>
      </c>
      <c r="K339" s="205">
        <f>J339*H339</f>
        <v>0</v>
      </c>
      <c r="L339" s="206"/>
    </row>
    <row r="340" spans="1:12" s="187" customFormat="1" x14ac:dyDescent="0.2">
      <c r="A340" s="111" t="str">
        <f>IF(F340&lt;&gt;"",1+MAX($A$7:A339),"")</f>
        <v/>
      </c>
      <c r="B340" s="45"/>
      <c r="C340" s="45"/>
      <c r="D340" s="214"/>
      <c r="E340" s="215" t="s">
        <v>48</v>
      </c>
      <c r="F340" s="216"/>
      <c r="G340" s="217"/>
      <c r="H340" s="33">
        <f>ROUNDUP((H339)/32,0)</f>
        <v>19</v>
      </c>
      <c r="I340" s="34" t="s">
        <v>49</v>
      </c>
      <c r="J340" s="204"/>
      <c r="K340" s="205"/>
      <c r="L340" s="206"/>
    </row>
    <row r="341" spans="1:12" s="187" customFormat="1" x14ac:dyDescent="0.2">
      <c r="A341" s="111" t="str">
        <f>IF(F341&lt;&gt;"",1+MAX($A$7:A340),"")</f>
        <v/>
      </c>
      <c r="B341" s="45"/>
      <c r="C341" s="45"/>
      <c r="D341" s="214"/>
      <c r="E341" s="215" t="s">
        <v>50</v>
      </c>
      <c r="F341" s="216"/>
      <c r="G341" s="217"/>
      <c r="H341" s="33">
        <f>ROUNDUP(H340*24/500,0)</f>
        <v>1</v>
      </c>
      <c r="I341" s="34" t="s">
        <v>51</v>
      </c>
      <c r="J341" s="204"/>
      <c r="K341" s="205"/>
      <c r="L341" s="206"/>
    </row>
    <row r="342" spans="1:12" s="187" customFormat="1" x14ac:dyDescent="0.2">
      <c r="A342" s="111" t="str">
        <f>IF(F342&lt;&gt;"",1+MAX($A$7:A341),"")</f>
        <v/>
      </c>
      <c r="B342" s="45"/>
      <c r="C342" s="45"/>
      <c r="D342" s="214"/>
      <c r="E342" s="215" t="s">
        <v>52</v>
      </c>
      <c r="F342" s="216"/>
      <c r="G342" s="217"/>
      <c r="H342" s="218">
        <f>ROUNDUP((H339)/200,0)</f>
        <v>3</v>
      </c>
      <c r="I342" s="34" t="s">
        <v>53</v>
      </c>
      <c r="J342" s="204"/>
      <c r="K342" s="205"/>
      <c r="L342" s="206"/>
    </row>
    <row r="343" spans="1:12" s="187" customFormat="1" x14ac:dyDescent="0.2">
      <c r="A343" s="111" t="str">
        <f>IF(F343&lt;&gt;"",1+MAX($A$7:A342),"")</f>
        <v/>
      </c>
      <c r="B343" s="45"/>
      <c r="C343" s="45"/>
      <c r="D343" s="214"/>
      <c r="E343" s="215" t="s">
        <v>54</v>
      </c>
      <c r="F343" s="216"/>
      <c r="G343" s="217"/>
      <c r="H343" s="218">
        <f>ROUNDUP((H339)*5.25/1000,0)</f>
        <v>4</v>
      </c>
      <c r="I343" s="34" t="s">
        <v>55</v>
      </c>
      <c r="J343" s="204"/>
      <c r="K343" s="205"/>
      <c r="L343" s="206"/>
    </row>
    <row r="344" spans="1:12" s="187" customFormat="1" x14ac:dyDescent="0.2">
      <c r="A344" s="111">
        <f>IF(F344&lt;&gt;"",1+MAX($A$7:A343),"")</f>
        <v>127</v>
      </c>
      <c r="B344" s="2" t="s">
        <v>112</v>
      </c>
      <c r="C344" s="2" t="s">
        <v>111</v>
      </c>
      <c r="D344" s="214"/>
      <c r="E344" s="213" t="s">
        <v>109</v>
      </c>
      <c r="F344" s="17">
        <f>27*4</f>
        <v>108</v>
      </c>
      <c r="G344" s="127">
        <v>0.1</v>
      </c>
      <c r="H344" s="33">
        <f>F344*(1+G344)</f>
        <v>118.80000000000001</v>
      </c>
      <c r="I344" s="34" t="s">
        <v>15</v>
      </c>
      <c r="J344" s="204">
        <f>J$148</f>
        <v>0</v>
      </c>
      <c r="K344" s="205">
        <f>J344*H344</f>
        <v>0</v>
      </c>
      <c r="L344" s="206"/>
    </row>
    <row r="345" spans="1:12" s="187" customFormat="1" x14ac:dyDescent="0.2">
      <c r="A345" s="111">
        <f>IF(F345&lt;&gt;"",1+MAX($A$7:A344),"")</f>
        <v>128</v>
      </c>
      <c r="B345" s="2" t="s">
        <v>112</v>
      </c>
      <c r="C345" s="2" t="s">
        <v>111</v>
      </c>
      <c r="D345" s="212"/>
      <c r="E345" s="213" t="s">
        <v>484</v>
      </c>
      <c r="F345" s="17">
        <f>27*9.75</f>
        <v>263.25</v>
      </c>
      <c r="G345" s="127">
        <v>0.1</v>
      </c>
      <c r="H345" s="33">
        <f>F345*(1+G345)</f>
        <v>289.57500000000005</v>
      </c>
      <c r="I345" s="34" t="s">
        <v>18</v>
      </c>
      <c r="J345" s="204">
        <f>J$276</f>
        <v>0</v>
      </c>
      <c r="K345" s="205">
        <f>J345*H345</f>
        <v>0</v>
      </c>
      <c r="L345" s="206"/>
    </row>
    <row r="346" spans="1:12" s="187" customFormat="1" x14ac:dyDescent="0.2">
      <c r="A346" s="111">
        <f>IF(F346&lt;&gt;"",1+MAX($A$7:A345),"")</f>
        <v>129</v>
      </c>
      <c r="B346" s="2" t="s">
        <v>112</v>
      </c>
      <c r="C346" s="2" t="s">
        <v>111</v>
      </c>
      <c r="D346" s="212"/>
      <c r="E346" s="213" t="s">
        <v>123</v>
      </c>
      <c r="F346" s="17">
        <f>27*9.75</f>
        <v>263.25</v>
      </c>
      <c r="G346" s="127">
        <v>0.1</v>
      </c>
      <c r="H346" s="33">
        <f>F346*(1+G346)</f>
        <v>289.57500000000005</v>
      </c>
      <c r="I346" s="34" t="s">
        <v>18</v>
      </c>
      <c r="J346" s="204">
        <f>J$202</f>
        <v>0</v>
      </c>
      <c r="K346" s="205">
        <f>J346*H346</f>
        <v>0</v>
      </c>
      <c r="L346" s="206"/>
    </row>
    <row r="347" spans="1:12" s="187" customFormat="1" x14ac:dyDescent="0.2">
      <c r="A347" s="111" t="str">
        <f>IF(F347&lt;&gt;"",1+MAX($A$7:A346),"")</f>
        <v/>
      </c>
      <c r="B347" s="2"/>
      <c r="C347" s="2"/>
      <c r="D347" s="214"/>
      <c r="E347" s="213"/>
      <c r="F347" s="17"/>
      <c r="G347" s="127"/>
      <c r="H347" s="33"/>
      <c r="I347" s="34"/>
      <c r="J347" s="204"/>
      <c r="K347" s="205"/>
      <c r="L347" s="206"/>
    </row>
    <row r="348" spans="1:12" s="187" customFormat="1" x14ac:dyDescent="0.2">
      <c r="A348" s="111" t="str">
        <f>IF(F348&lt;&gt;"",1+MAX($A$7:A347),"")</f>
        <v/>
      </c>
      <c r="B348" s="207"/>
      <c r="C348" s="207"/>
      <c r="D348" s="201"/>
      <c r="E348" s="208" t="s">
        <v>143</v>
      </c>
      <c r="F348" s="203"/>
      <c r="G348" s="25"/>
      <c r="H348" s="209"/>
      <c r="I348" s="5"/>
      <c r="J348" s="210"/>
      <c r="K348" s="211"/>
      <c r="L348" s="206"/>
    </row>
    <row r="349" spans="1:12" s="187" customFormat="1" x14ac:dyDescent="0.2">
      <c r="A349" s="111">
        <f>IF(F349&lt;&gt;"",1+MAX($A$7:A348),"")</f>
        <v>130</v>
      </c>
      <c r="B349" s="2" t="s">
        <v>112</v>
      </c>
      <c r="C349" s="2" t="s">
        <v>111</v>
      </c>
      <c r="D349" s="212"/>
      <c r="E349" s="213" t="s">
        <v>107</v>
      </c>
      <c r="F349" s="17">
        <f>137.6*9.75*2+26.5*9.75</f>
        <v>2941.5749999999998</v>
      </c>
      <c r="G349" s="127">
        <v>0.1</v>
      </c>
      <c r="H349" s="33">
        <f>F349*(1+G349)</f>
        <v>3235.7325000000001</v>
      </c>
      <c r="I349" s="34" t="s">
        <v>18</v>
      </c>
      <c r="J349" s="204">
        <f>J$143</f>
        <v>0</v>
      </c>
      <c r="K349" s="205">
        <f>J349*H349</f>
        <v>0</v>
      </c>
      <c r="L349" s="206"/>
    </row>
    <row r="350" spans="1:12" s="187" customFormat="1" x14ac:dyDescent="0.2">
      <c r="A350" s="111" t="str">
        <f>IF(F350&lt;&gt;"",1+MAX($A$7:A349),"")</f>
        <v/>
      </c>
      <c r="B350" s="45"/>
      <c r="C350" s="45"/>
      <c r="D350" s="214"/>
      <c r="E350" s="215" t="s">
        <v>48</v>
      </c>
      <c r="F350" s="216"/>
      <c r="G350" s="217"/>
      <c r="H350" s="33">
        <f>ROUNDUP((H349)/32,0)</f>
        <v>102</v>
      </c>
      <c r="I350" s="34" t="s">
        <v>49</v>
      </c>
      <c r="J350" s="204"/>
      <c r="K350" s="205"/>
      <c r="L350" s="206"/>
    </row>
    <row r="351" spans="1:12" s="187" customFormat="1" x14ac:dyDescent="0.2">
      <c r="A351" s="111" t="str">
        <f>IF(F351&lt;&gt;"",1+MAX($A$7:A350),"")</f>
        <v/>
      </c>
      <c r="B351" s="45"/>
      <c r="C351" s="45"/>
      <c r="D351" s="214"/>
      <c r="E351" s="215" t="s">
        <v>50</v>
      </c>
      <c r="F351" s="216"/>
      <c r="G351" s="217"/>
      <c r="H351" s="33">
        <f>ROUNDUP(H350*24/500,0)</f>
        <v>5</v>
      </c>
      <c r="I351" s="34" t="s">
        <v>51</v>
      </c>
      <c r="J351" s="204"/>
      <c r="K351" s="205"/>
      <c r="L351" s="206"/>
    </row>
    <row r="352" spans="1:12" s="187" customFormat="1" x14ac:dyDescent="0.2">
      <c r="A352" s="111" t="str">
        <f>IF(F352&lt;&gt;"",1+MAX($A$7:A351),"")</f>
        <v/>
      </c>
      <c r="B352" s="45"/>
      <c r="C352" s="45"/>
      <c r="D352" s="214"/>
      <c r="E352" s="215" t="s">
        <v>52</v>
      </c>
      <c r="F352" s="216"/>
      <c r="G352" s="217"/>
      <c r="H352" s="218">
        <f>ROUNDUP((H349)/200,0)</f>
        <v>17</v>
      </c>
      <c r="I352" s="34" t="s">
        <v>53</v>
      </c>
      <c r="J352" s="204"/>
      <c r="K352" s="205"/>
      <c r="L352" s="206"/>
    </row>
    <row r="353" spans="1:12" s="187" customFormat="1" x14ac:dyDescent="0.2">
      <c r="A353" s="111" t="str">
        <f>IF(F353&lt;&gt;"",1+MAX($A$7:A352),"")</f>
        <v/>
      </c>
      <c r="B353" s="45"/>
      <c r="C353" s="45"/>
      <c r="D353" s="214"/>
      <c r="E353" s="215" t="s">
        <v>54</v>
      </c>
      <c r="F353" s="216"/>
      <c r="G353" s="217"/>
      <c r="H353" s="218">
        <f>ROUNDUP((H349)*5.25/1000,0)</f>
        <v>17</v>
      </c>
      <c r="I353" s="34" t="s">
        <v>55</v>
      </c>
      <c r="J353" s="204"/>
      <c r="K353" s="205"/>
      <c r="L353" s="206"/>
    </row>
    <row r="354" spans="1:12" s="187" customFormat="1" x14ac:dyDescent="0.2">
      <c r="A354" s="111">
        <f>IF(F354&lt;&gt;"",1+MAX($A$7:A353),"")</f>
        <v>131</v>
      </c>
      <c r="B354" s="2" t="s">
        <v>112</v>
      </c>
      <c r="C354" s="2" t="s">
        <v>111</v>
      </c>
      <c r="D354" s="212"/>
      <c r="E354" s="213" t="s">
        <v>108</v>
      </c>
      <c r="F354" s="17">
        <f>26.5*9.75</f>
        <v>258.375</v>
      </c>
      <c r="G354" s="127">
        <v>0.1</v>
      </c>
      <c r="H354" s="33">
        <f>F354*(1+G354)</f>
        <v>284.21250000000003</v>
      </c>
      <c r="I354" s="34" t="s">
        <v>18</v>
      </c>
      <c r="J354" s="204">
        <f>J$160</f>
        <v>0</v>
      </c>
      <c r="K354" s="205">
        <f>J354*H354</f>
        <v>0</v>
      </c>
      <c r="L354" s="206"/>
    </row>
    <row r="355" spans="1:12" s="187" customFormat="1" x14ac:dyDescent="0.2">
      <c r="A355" s="111" t="str">
        <f>IF(F355&lt;&gt;"",1+MAX($A$7:A354),"")</f>
        <v/>
      </c>
      <c r="B355" s="45"/>
      <c r="C355" s="45"/>
      <c r="D355" s="214"/>
      <c r="E355" s="215" t="s">
        <v>48</v>
      </c>
      <c r="F355" s="216"/>
      <c r="G355" s="217"/>
      <c r="H355" s="33">
        <f>ROUNDUP((H354)/32,0)</f>
        <v>9</v>
      </c>
      <c r="I355" s="34" t="s">
        <v>49</v>
      </c>
      <c r="J355" s="204"/>
      <c r="K355" s="205"/>
      <c r="L355" s="206"/>
    </row>
    <row r="356" spans="1:12" s="187" customFormat="1" x14ac:dyDescent="0.2">
      <c r="A356" s="111" t="str">
        <f>IF(F356&lt;&gt;"",1+MAX($A$7:A355),"")</f>
        <v/>
      </c>
      <c r="B356" s="45"/>
      <c r="C356" s="45"/>
      <c r="D356" s="214"/>
      <c r="E356" s="215" t="s">
        <v>50</v>
      </c>
      <c r="F356" s="216"/>
      <c r="G356" s="217"/>
      <c r="H356" s="33">
        <f>ROUNDUP(H355*24/500,0)</f>
        <v>1</v>
      </c>
      <c r="I356" s="34" t="s">
        <v>51</v>
      </c>
      <c r="J356" s="204"/>
      <c r="K356" s="205"/>
      <c r="L356" s="206"/>
    </row>
    <row r="357" spans="1:12" s="187" customFormat="1" x14ac:dyDescent="0.2">
      <c r="A357" s="111" t="str">
        <f>IF(F357&lt;&gt;"",1+MAX($A$7:A356),"")</f>
        <v/>
      </c>
      <c r="B357" s="45"/>
      <c r="C357" s="45"/>
      <c r="D357" s="214"/>
      <c r="E357" s="215" t="s">
        <v>52</v>
      </c>
      <c r="F357" s="216"/>
      <c r="G357" s="217"/>
      <c r="H357" s="218">
        <f>ROUNDUP((H354)/200,0)</f>
        <v>2</v>
      </c>
      <c r="I357" s="34" t="s">
        <v>53</v>
      </c>
      <c r="J357" s="204"/>
      <c r="K357" s="205"/>
      <c r="L357" s="206"/>
    </row>
    <row r="358" spans="1:12" s="187" customFormat="1" x14ac:dyDescent="0.2">
      <c r="A358" s="111" t="str">
        <f>IF(F358&lt;&gt;"",1+MAX($A$7:A357),"")</f>
        <v/>
      </c>
      <c r="B358" s="45"/>
      <c r="C358" s="45"/>
      <c r="D358" s="214"/>
      <c r="E358" s="215" t="s">
        <v>54</v>
      </c>
      <c r="F358" s="216"/>
      <c r="G358" s="217"/>
      <c r="H358" s="218">
        <f>ROUNDUP((H354)*5.25/1000,0)</f>
        <v>2</v>
      </c>
      <c r="I358" s="34" t="s">
        <v>55</v>
      </c>
      <c r="J358" s="204"/>
      <c r="K358" s="205"/>
      <c r="L358" s="206"/>
    </row>
    <row r="359" spans="1:12" s="187" customFormat="1" x14ac:dyDescent="0.2">
      <c r="A359" s="111">
        <f>IF(F359&lt;&gt;"",1+MAX($A$7:A358),"")</f>
        <v>132</v>
      </c>
      <c r="B359" s="2" t="s">
        <v>112</v>
      </c>
      <c r="C359" s="2" t="s">
        <v>111</v>
      </c>
      <c r="D359" s="214"/>
      <c r="E359" s="213" t="s">
        <v>109</v>
      </c>
      <c r="F359" s="17">
        <f>164.1*4</f>
        <v>656.4</v>
      </c>
      <c r="G359" s="127">
        <v>0.1</v>
      </c>
      <c r="H359" s="33">
        <f>F359*(1+G359)</f>
        <v>722.04000000000008</v>
      </c>
      <c r="I359" s="34" t="s">
        <v>15</v>
      </c>
      <c r="J359" s="204">
        <f>J$148</f>
        <v>0</v>
      </c>
      <c r="K359" s="205">
        <f>J359*H359</f>
        <v>0</v>
      </c>
      <c r="L359" s="206"/>
    </row>
    <row r="360" spans="1:12" s="187" customFormat="1" x14ac:dyDescent="0.2">
      <c r="A360" s="111">
        <f>IF(F360&lt;&gt;"",1+MAX($A$7:A359),"")</f>
        <v>133</v>
      </c>
      <c r="B360" s="2" t="s">
        <v>112</v>
      </c>
      <c r="C360" s="2" t="s">
        <v>111</v>
      </c>
      <c r="D360" s="212"/>
      <c r="E360" s="213" t="s">
        <v>144</v>
      </c>
      <c r="F360" s="17">
        <f>164.1*9.75</f>
        <v>1599.9749999999999</v>
      </c>
      <c r="G360" s="127">
        <v>0.1</v>
      </c>
      <c r="H360" s="33">
        <f>F360*(1+G360)</f>
        <v>1759.9725000000001</v>
      </c>
      <c r="I360" s="34" t="s">
        <v>18</v>
      </c>
      <c r="J360" s="130">
        <v>0</v>
      </c>
      <c r="K360" s="205">
        <f>J360*H360</f>
        <v>0</v>
      </c>
      <c r="L360" s="206"/>
    </row>
    <row r="361" spans="1:12" s="187" customFormat="1" x14ac:dyDescent="0.2">
      <c r="A361" s="111" t="str">
        <f>IF(F361&lt;&gt;"",1+MAX($A$7:A360),"")</f>
        <v/>
      </c>
      <c r="B361" s="2"/>
      <c r="C361" s="2"/>
      <c r="D361" s="214"/>
      <c r="E361" s="243" t="s">
        <v>56</v>
      </c>
      <c r="F361" s="17"/>
      <c r="G361" s="127"/>
      <c r="H361" s="33">
        <f>(164.1/1.167+1)</f>
        <v>141.61696658097685</v>
      </c>
      <c r="I361" s="34" t="s">
        <v>20</v>
      </c>
      <c r="J361" s="204"/>
      <c r="K361" s="205"/>
      <c r="L361" s="206"/>
    </row>
    <row r="362" spans="1:12" s="187" customFormat="1" x14ac:dyDescent="0.2">
      <c r="A362" s="111">
        <f>IF(F362&lt;&gt;"",1+MAX($A$7:A361),"")</f>
        <v>134</v>
      </c>
      <c r="B362" s="2" t="s">
        <v>112</v>
      </c>
      <c r="C362" s="2" t="s">
        <v>111</v>
      </c>
      <c r="D362" s="629"/>
      <c r="E362" s="213" t="s">
        <v>145</v>
      </c>
      <c r="F362" s="17">
        <f>164.1*3</f>
        <v>492.29999999999995</v>
      </c>
      <c r="G362" s="127">
        <v>0.1</v>
      </c>
      <c r="H362" s="33">
        <f>F362*(1+G362)</f>
        <v>541.53</v>
      </c>
      <c r="I362" s="34" t="s">
        <v>15</v>
      </c>
      <c r="J362" s="130">
        <v>0</v>
      </c>
      <c r="K362" s="205">
        <f>J362*H362</f>
        <v>0</v>
      </c>
      <c r="L362" s="206"/>
    </row>
    <row r="363" spans="1:12" s="187" customFormat="1" x14ac:dyDescent="0.2">
      <c r="A363" s="111" t="str">
        <f>IF(F363&lt;&gt;"",1+MAX($A$7:A362),"")</f>
        <v/>
      </c>
      <c r="B363" s="2"/>
      <c r="C363" s="2"/>
      <c r="D363" s="214"/>
      <c r="E363" s="213"/>
      <c r="F363" s="17"/>
      <c r="G363" s="127"/>
      <c r="H363" s="33"/>
      <c r="I363" s="34"/>
      <c r="J363" s="204"/>
      <c r="K363" s="205"/>
      <c r="L363" s="206"/>
    </row>
    <row r="364" spans="1:12" s="187" customFormat="1" x14ac:dyDescent="0.2">
      <c r="A364" s="111" t="str">
        <f>IF(F364&lt;&gt;"",1+MAX($A$7:A363),"")</f>
        <v/>
      </c>
      <c r="B364" s="207"/>
      <c r="C364" s="207"/>
      <c r="D364" s="201"/>
      <c r="E364" s="208" t="s">
        <v>146</v>
      </c>
      <c r="F364" s="203"/>
      <c r="G364" s="25"/>
      <c r="H364" s="209"/>
      <c r="I364" s="5"/>
      <c r="J364" s="210"/>
      <c r="K364" s="211"/>
      <c r="L364" s="206"/>
    </row>
    <row r="365" spans="1:12" s="187" customFormat="1" x14ac:dyDescent="0.2">
      <c r="A365" s="111">
        <f>IF(F365&lt;&gt;"",1+MAX($A$7:A364),"")</f>
        <v>135</v>
      </c>
      <c r="B365" s="2" t="s">
        <v>112</v>
      </c>
      <c r="C365" s="2" t="s">
        <v>111</v>
      </c>
      <c r="D365" s="212"/>
      <c r="E365" s="213" t="s">
        <v>107</v>
      </c>
      <c r="F365" s="17">
        <f>152.8*9.75*2+56*9.75</f>
        <v>3525.6000000000004</v>
      </c>
      <c r="G365" s="127">
        <v>0.1</v>
      </c>
      <c r="H365" s="33">
        <f>F365*(1+G365)</f>
        <v>3878.1600000000008</v>
      </c>
      <c r="I365" s="34" t="s">
        <v>18</v>
      </c>
      <c r="J365" s="204">
        <f>J$143</f>
        <v>0</v>
      </c>
      <c r="K365" s="205">
        <f>J365*H365</f>
        <v>0</v>
      </c>
      <c r="L365" s="206"/>
    </row>
    <row r="366" spans="1:12" s="187" customFormat="1" x14ac:dyDescent="0.2">
      <c r="A366" s="111" t="str">
        <f>IF(F366&lt;&gt;"",1+MAX($A$7:A365),"")</f>
        <v/>
      </c>
      <c r="B366" s="45"/>
      <c r="C366" s="45"/>
      <c r="D366" s="214"/>
      <c r="E366" s="215" t="s">
        <v>48</v>
      </c>
      <c r="F366" s="216"/>
      <c r="G366" s="217"/>
      <c r="H366" s="33">
        <f>ROUNDUP((H365)/32,0)</f>
        <v>122</v>
      </c>
      <c r="I366" s="34" t="s">
        <v>49</v>
      </c>
      <c r="J366" s="204"/>
      <c r="K366" s="205"/>
      <c r="L366" s="206"/>
    </row>
    <row r="367" spans="1:12" s="187" customFormat="1" x14ac:dyDescent="0.2">
      <c r="A367" s="111" t="str">
        <f>IF(F367&lt;&gt;"",1+MAX($A$7:A366),"")</f>
        <v/>
      </c>
      <c r="B367" s="45"/>
      <c r="C367" s="45"/>
      <c r="D367" s="214"/>
      <c r="E367" s="215" t="s">
        <v>50</v>
      </c>
      <c r="F367" s="216"/>
      <c r="G367" s="217"/>
      <c r="H367" s="33">
        <f>ROUNDUP(H366*24/500,0)</f>
        <v>6</v>
      </c>
      <c r="I367" s="34" t="s">
        <v>51</v>
      </c>
      <c r="J367" s="204"/>
      <c r="K367" s="205"/>
      <c r="L367" s="206"/>
    </row>
    <row r="368" spans="1:12" s="187" customFormat="1" x14ac:dyDescent="0.2">
      <c r="A368" s="111" t="str">
        <f>IF(F368&lt;&gt;"",1+MAX($A$7:A367),"")</f>
        <v/>
      </c>
      <c r="B368" s="45"/>
      <c r="C368" s="45"/>
      <c r="D368" s="214"/>
      <c r="E368" s="215" t="s">
        <v>52</v>
      </c>
      <c r="F368" s="216"/>
      <c r="G368" s="217"/>
      <c r="H368" s="218">
        <f>ROUNDUP((H365)/200,0)</f>
        <v>20</v>
      </c>
      <c r="I368" s="34" t="s">
        <v>53</v>
      </c>
      <c r="J368" s="204"/>
      <c r="K368" s="205"/>
      <c r="L368" s="206"/>
    </row>
    <row r="369" spans="1:12" s="187" customFormat="1" x14ac:dyDescent="0.2">
      <c r="A369" s="111" t="str">
        <f>IF(F369&lt;&gt;"",1+MAX($A$7:A368),"")</f>
        <v/>
      </c>
      <c r="B369" s="45"/>
      <c r="C369" s="45"/>
      <c r="D369" s="214"/>
      <c r="E369" s="215" t="s">
        <v>54</v>
      </c>
      <c r="F369" s="216"/>
      <c r="G369" s="217"/>
      <c r="H369" s="218">
        <f>ROUNDUP((H365)*5.25/1000,0)</f>
        <v>21</v>
      </c>
      <c r="I369" s="34" t="s">
        <v>55</v>
      </c>
      <c r="J369" s="204"/>
      <c r="K369" s="205"/>
      <c r="L369" s="206"/>
    </row>
    <row r="370" spans="1:12" s="187" customFormat="1" x14ac:dyDescent="0.2">
      <c r="A370" s="111">
        <f>IF(F370&lt;&gt;"",1+MAX($A$7:A369),"")</f>
        <v>136</v>
      </c>
      <c r="B370" s="2" t="s">
        <v>112</v>
      </c>
      <c r="C370" s="2" t="s">
        <v>111</v>
      </c>
      <c r="D370" s="212"/>
      <c r="E370" s="213" t="s">
        <v>108</v>
      </c>
      <c r="F370" s="17">
        <f>56*9.75</f>
        <v>546</v>
      </c>
      <c r="G370" s="127">
        <v>0.1</v>
      </c>
      <c r="H370" s="33">
        <f>F370*(1+G370)</f>
        <v>600.6</v>
      </c>
      <c r="I370" s="34" t="s">
        <v>18</v>
      </c>
      <c r="J370" s="204">
        <f>J$160</f>
        <v>0</v>
      </c>
      <c r="K370" s="205">
        <f>J370*H370</f>
        <v>0</v>
      </c>
      <c r="L370" s="206"/>
    </row>
    <row r="371" spans="1:12" s="187" customFormat="1" x14ac:dyDescent="0.2">
      <c r="A371" s="111" t="str">
        <f>IF(F371&lt;&gt;"",1+MAX($A$7:A370),"")</f>
        <v/>
      </c>
      <c r="B371" s="45"/>
      <c r="C371" s="45"/>
      <c r="D371" s="214"/>
      <c r="E371" s="215" t="s">
        <v>48</v>
      </c>
      <c r="F371" s="216"/>
      <c r="G371" s="217"/>
      <c r="H371" s="33">
        <f>ROUNDUP((H370)/32,0)</f>
        <v>19</v>
      </c>
      <c r="I371" s="34" t="s">
        <v>49</v>
      </c>
      <c r="J371" s="204"/>
      <c r="K371" s="205"/>
      <c r="L371" s="206"/>
    </row>
    <row r="372" spans="1:12" s="187" customFormat="1" x14ac:dyDescent="0.2">
      <c r="A372" s="111" t="str">
        <f>IF(F372&lt;&gt;"",1+MAX($A$7:A371),"")</f>
        <v/>
      </c>
      <c r="B372" s="45"/>
      <c r="C372" s="45"/>
      <c r="D372" s="214"/>
      <c r="E372" s="215" t="s">
        <v>50</v>
      </c>
      <c r="F372" s="216"/>
      <c r="G372" s="217"/>
      <c r="H372" s="33">
        <f>ROUNDUP(H371*24/500,0)</f>
        <v>1</v>
      </c>
      <c r="I372" s="34" t="s">
        <v>51</v>
      </c>
      <c r="J372" s="204"/>
      <c r="K372" s="205"/>
      <c r="L372" s="206"/>
    </row>
    <row r="373" spans="1:12" s="187" customFormat="1" x14ac:dyDescent="0.2">
      <c r="A373" s="111" t="str">
        <f>IF(F373&lt;&gt;"",1+MAX($A$7:A372),"")</f>
        <v/>
      </c>
      <c r="B373" s="45"/>
      <c r="C373" s="45"/>
      <c r="D373" s="214"/>
      <c r="E373" s="215" t="s">
        <v>52</v>
      </c>
      <c r="F373" s="216"/>
      <c r="G373" s="217"/>
      <c r="H373" s="218">
        <f>ROUNDUP((H370)/200,0)</f>
        <v>4</v>
      </c>
      <c r="I373" s="34" t="s">
        <v>53</v>
      </c>
      <c r="J373" s="204"/>
      <c r="K373" s="205"/>
      <c r="L373" s="206"/>
    </row>
    <row r="374" spans="1:12" s="187" customFormat="1" x14ac:dyDescent="0.2">
      <c r="A374" s="111" t="str">
        <f>IF(F374&lt;&gt;"",1+MAX($A$7:A373),"")</f>
        <v/>
      </c>
      <c r="B374" s="45"/>
      <c r="C374" s="45"/>
      <c r="D374" s="214"/>
      <c r="E374" s="215" t="s">
        <v>54</v>
      </c>
      <c r="F374" s="216"/>
      <c r="G374" s="217"/>
      <c r="H374" s="218">
        <f>ROUNDUP((H370)*5.25/1000,0)</f>
        <v>4</v>
      </c>
      <c r="I374" s="34" t="s">
        <v>55</v>
      </c>
      <c r="J374" s="204"/>
      <c r="K374" s="205"/>
      <c r="L374" s="206"/>
    </row>
    <row r="375" spans="1:12" s="187" customFormat="1" x14ac:dyDescent="0.2">
      <c r="A375" s="111">
        <f>IF(F375&lt;&gt;"",1+MAX($A$7:A374),"")</f>
        <v>137</v>
      </c>
      <c r="B375" s="2" t="s">
        <v>112</v>
      </c>
      <c r="C375" s="2" t="s">
        <v>111</v>
      </c>
      <c r="D375" s="214"/>
      <c r="E375" s="213" t="s">
        <v>109</v>
      </c>
      <c r="F375" s="17">
        <f>208.8*4</f>
        <v>835.2</v>
      </c>
      <c r="G375" s="127">
        <v>0.1</v>
      </c>
      <c r="H375" s="33">
        <f>F375*(1+G375)</f>
        <v>918.72000000000014</v>
      </c>
      <c r="I375" s="34" t="s">
        <v>15</v>
      </c>
      <c r="J375" s="204">
        <f>J$148</f>
        <v>0</v>
      </c>
      <c r="K375" s="205">
        <f>J375*H375</f>
        <v>0</v>
      </c>
      <c r="L375" s="206"/>
    </row>
    <row r="376" spans="1:12" s="187" customFormat="1" x14ac:dyDescent="0.2">
      <c r="A376" s="111">
        <f>IF(F376&lt;&gt;"",1+MAX($A$7:A375),"")</f>
        <v>138</v>
      </c>
      <c r="B376" s="2" t="s">
        <v>112</v>
      </c>
      <c r="C376" s="2" t="s">
        <v>111</v>
      </c>
      <c r="D376" s="212"/>
      <c r="E376" s="213" t="s">
        <v>133</v>
      </c>
      <c r="F376" s="17">
        <f>208.8*9.75</f>
        <v>2035.8000000000002</v>
      </c>
      <c r="G376" s="127">
        <v>0.1</v>
      </c>
      <c r="H376" s="33">
        <f>F376*(1+G376)</f>
        <v>2239.3800000000006</v>
      </c>
      <c r="I376" s="34" t="s">
        <v>18</v>
      </c>
      <c r="J376" s="204">
        <f>J$149</f>
        <v>0</v>
      </c>
      <c r="K376" s="205">
        <f>J376*H376</f>
        <v>0</v>
      </c>
      <c r="L376" s="206"/>
    </row>
    <row r="377" spans="1:12" s="187" customFormat="1" x14ac:dyDescent="0.2">
      <c r="A377" s="111" t="str">
        <f>IF(F377&lt;&gt;"",1+MAX($A$7:A376),"")</f>
        <v/>
      </c>
      <c r="B377" s="2"/>
      <c r="C377" s="2"/>
      <c r="D377" s="214"/>
      <c r="E377" s="243" t="s">
        <v>56</v>
      </c>
      <c r="F377" s="17"/>
      <c r="G377" s="127"/>
      <c r="H377" s="33">
        <f>(208.8/1.167+1)</f>
        <v>179.92030848329048</v>
      </c>
      <c r="I377" s="34" t="s">
        <v>20</v>
      </c>
      <c r="J377" s="204"/>
      <c r="K377" s="205"/>
      <c r="L377" s="206"/>
    </row>
    <row r="378" spans="1:12" s="187" customFormat="1" x14ac:dyDescent="0.2">
      <c r="A378" s="111">
        <f>IF(F378&lt;&gt;"",1+MAX($A$7:A377),"")</f>
        <v>139</v>
      </c>
      <c r="B378" s="2" t="s">
        <v>112</v>
      </c>
      <c r="C378" s="2" t="s">
        <v>111</v>
      </c>
      <c r="D378" s="214"/>
      <c r="E378" s="213" t="s">
        <v>134</v>
      </c>
      <c r="F378" s="17">
        <f>208.8*3</f>
        <v>626.40000000000009</v>
      </c>
      <c r="G378" s="127">
        <v>0.1</v>
      </c>
      <c r="H378" s="33">
        <f>F378*(1+G378)</f>
        <v>689.04000000000019</v>
      </c>
      <c r="I378" s="34" t="s">
        <v>15</v>
      </c>
      <c r="J378" s="204">
        <f>J$151</f>
        <v>0</v>
      </c>
      <c r="K378" s="205">
        <f>J378*H378</f>
        <v>0</v>
      </c>
      <c r="L378" s="206"/>
    </row>
    <row r="379" spans="1:12" s="187" customFormat="1" x14ac:dyDescent="0.2">
      <c r="A379" s="111" t="str">
        <f>IF(F379&lt;&gt;"",1+MAX($A$7:A378),"")</f>
        <v/>
      </c>
      <c r="B379" s="2"/>
      <c r="C379" s="2"/>
      <c r="D379" s="214"/>
      <c r="E379" s="213"/>
      <c r="F379" s="17"/>
      <c r="G379" s="127"/>
      <c r="H379" s="33"/>
      <c r="I379" s="34"/>
      <c r="J379" s="204"/>
      <c r="K379" s="205"/>
      <c r="L379" s="206"/>
    </row>
    <row r="380" spans="1:12" s="187" customFormat="1" x14ac:dyDescent="0.2">
      <c r="A380" s="111" t="str">
        <f>IF(F380&lt;&gt;"",1+MAX($A$7:A379),"")</f>
        <v/>
      </c>
      <c r="B380" s="207"/>
      <c r="C380" s="207"/>
      <c r="D380" s="201"/>
      <c r="E380" s="208" t="s">
        <v>147</v>
      </c>
      <c r="F380" s="203"/>
      <c r="G380" s="25"/>
      <c r="H380" s="209"/>
      <c r="I380" s="5"/>
      <c r="J380" s="210"/>
      <c r="K380" s="211"/>
      <c r="L380" s="206"/>
    </row>
    <row r="381" spans="1:12" s="187" customFormat="1" x14ac:dyDescent="0.2">
      <c r="A381" s="111">
        <f>IF(F381&lt;&gt;"",1+MAX($A$7:A380),"")</f>
        <v>140</v>
      </c>
      <c r="B381" s="2" t="s">
        <v>112</v>
      </c>
      <c r="C381" s="2" t="s">
        <v>111</v>
      </c>
      <c r="D381" s="212"/>
      <c r="E381" s="213" t="s">
        <v>107</v>
      </c>
      <c r="F381" s="17">
        <f>19.4*9.75*2</f>
        <v>378.29999999999995</v>
      </c>
      <c r="G381" s="127">
        <v>0.1</v>
      </c>
      <c r="H381" s="33">
        <f>F381*(1+G381)</f>
        <v>416.13</v>
      </c>
      <c r="I381" s="34" t="s">
        <v>18</v>
      </c>
      <c r="J381" s="204">
        <f t="shared" ref="J381:J382" si="71">J$143</f>
        <v>0</v>
      </c>
      <c r="K381" s="205">
        <f>J381*H381</f>
        <v>0</v>
      </c>
      <c r="L381" s="206"/>
    </row>
    <row r="382" spans="1:12" s="187" customFormat="1" x14ac:dyDescent="0.2">
      <c r="A382" s="111">
        <f>IF(F382&lt;&gt;"",1+MAX($A$7:A381),"")</f>
        <v>141</v>
      </c>
      <c r="B382" s="2" t="s">
        <v>112</v>
      </c>
      <c r="C382" s="2" t="s">
        <v>111</v>
      </c>
      <c r="D382" s="212"/>
      <c r="E382" s="213" t="s">
        <v>122</v>
      </c>
      <c r="F382" s="17">
        <f>19.4*9.75</f>
        <v>189.14999999999998</v>
      </c>
      <c r="G382" s="127">
        <v>0.1</v>
      </c>
      <c r="H382" s="33">
        <f>F382*(1+G382)</f>
        <v>208.065</v>
      </c>
      <c r="I382" s="34" t="s">
        <v>18</v>
      </c>
      <c r="J382" s="204">
        <f t="shared" si="71"/>
        <v>0</v>
      </c>
      <c r="K382" s="205">
        <f>J382*H382</f>
        <v>0</v>
      </c>
      <c r="L382" s="206"/>
    </row>
    <row r="383" spans="1:12" s="187" customFormat="1" x14ac:dyDescent="0.2">
      <c r="A383" s="111" t="str">
        <f>IF(F383&lt;&gt;"",1+MAX($A$7:A382),"")</f>
        <v/>
      </c>
      <c r="B383" s="45"/>
      <c r="C383" s="45"/>
      <c r="D383" s="214"/>
      <c r="E383" s="215" t="s">
        <v>48</v>
      </c>
      <c r="F383" s="216"/>
      <c r="G383" s="217"/>
      <c r="H383" s="33">
        <f>ROUNDUP((H381+H382)/32,0)</f>
        <v>20</v>
      </c>
      <c r="I383" s="34" t="s">
        <v>49</v>
      </c>
      <c r="J383" s="204"/>
      <c r="K383" s="205"/>
      <c r="L383" s="206"/>
    </row>
    <row r="384" spans="1:12" s="187" customFormat="1" x14ac:dyDescent="0.2">
      <c r="A384" s="111" t="str">
        <f>IF(F384&lt;&gt;"",1+MAX($A$7:A383),"")</f>
        <v/>
      </c>
      <c r="B384" s="45"/>
      <c r="C384" s="45"/>
      <c r="D384" s="214"/>
      <c r="E384" s="215" t="s">
        <v>50</v>
      </c>
      <c r="F384" s="216"/>
      <c r="G384" s="217"/>
      <c r="H384" s="33">
        <f>ROUNDUP(H383*24/500,0)</f>
        <v>1</v>
      </c>
      <c r="I384" s="34" t="s">
        <v>51</v>
      </c>
      <c r="J384" s="204"/>
      <c r="K384" s="205"/>
      <c r="L384" s="206"/>
    </row>
    <row r="385" spans="1:12" s="187" customFormat="1" x14ac:dyDescent="0.2">
      <c r="A385" s="111" t="str">
        <f>IF(F385&lt;&gt;"",1+MAX($A$7:A384),"")</f>
        <v/>
      </c>
      <c r="B385" s="45"/>
      <c r="C385" s="45"/>
      <c r="D385" s="214"/>
      <c r="E385" s="215" t="s">
        <v>52</v>
      </c>
      <c r="F385" s="216"/>
      <c r="G385" s="217"/>
      <c r="H385" s="218">
        <f>ROUNDUP((H381+H382)/200,0)</f>
        <v>4</v>
      </c>
      <c r="I385" s="34" t="s">
        <v>53</v>
      </c>
      <c r="J385" s="204"/>
      <c r="K385" s="205"/>
      <c r="L385" s="206"/>
    </row>
    <row r="386" spans="1:12" s="187" customFormat="1" x14ac:dyDescent="0.2">
      <c r="A386" s="111" t="str">
        <f>IF(F386&lt;&gt;"",1+MAX($A$7:A385),"")</f>
        <v/>
      </c>
      <c r="B386" s="45"/>
      <c r="C386" s="45"/>
      <c r="D386" s="214"/>
      <c r="E386" s="215" t="s">
        <v>54</v>
      </c>
      <c r="F386" s="216"/>
      <c r="G386" s="217"/>
      <c r="H386" s="218">
        <f>ROUNDUP((H381+H382)*5.25/1000,0)</f>
        <v>4</v>
      </c>
      <c r="I386" s="34" t="s">
        <v>55</v>
      </c>
      <c r="J386" s="204"/>
      <c r="K386" s="205"/>
      <c r="L386" s="206"/>
    </row>
    <row r="387" spans="1:12" s="187" customFormat="1" x14ac:dyDescent="0.2">
      <c r="A387" s="111">
        <f>IF(F387&lt;&gt;"",1+MAX($A$7:A386),"")</f>
        <v>142</v>
      </c>
      <c r="B387" s="2" t="s">
        <v>112</v>
      </c>
      <c r="C387" s="2" t="s">
        <v>111</v>
      </c>
      <c r="D387" s="214"/>
      <c r="E387" s="213" t="s">
        <v>109</v>
      </c>
      <c r="F387" s="17">
        <f>19.4*4</f>
        <v>77.599999999999994</v>
      </c>
      <c r="G387" s="127">
        <v>0.1</v>
      </c>
      <c r="H387" s="33">
        <f>F387*(1+G387)</f>
        <v>85.36</v>
      </c>
      <c r="I387" s="34" t="s">
        <v>15</v>
      </c>
      <c r="J387" s="204">
        <f>J$148</f>
        <v>0</v>
      </c>
      <c r="K387" s="205">
        <f>J387*H387</f>
        <v>0</v>
      </c>
      <c r="L387" s="206"/>
    </row>
    <row r="388" spans="1:12" s="187" customFormat="1" x14ac:dyDescent="0.2">
      <c r="A388" s="111">
        <f>IF(F388&lt;&gt;"",1+MAX($A$7:A387),"")</f>
        <v>143</v>
      </c>
      <c r="B388" s="2" t="s">
        <v>112</v>
      </c>
      <c r="C388" s="2" t="s">
        <v>111</v>
      </c>
      <c r="D388" s="212"/>
      <c r="E388" s="213" t="s">
        <v>144</v>
      </c>
      <c r="F388" s="17">
        <f>19.4*9.75</f>
        <v>189.14999999999998</v>
      </c>
      <c r="G388" s="127">
        <v>0.1</v>
      </c>
      <c r="H388" s="33">
        <f>F388*(1+G388)</f>
        <v>208.065</v>
      </c>
      <c r="I388" s="34" t="s">
        <v>18</v>
      </c>
      <c r="J388" s="204">
        <f>J$360</f>
        <v>0</v>
      </c>
      <c r="K388" s="205">
        <f>J388*H388</f>
        <v>0</v>
      </c>
      <c r="L388" s="206"/>
    </row>
    <row r="389" spans="1:12" s="187" customFormat="1" x14ac:dyDescent="0.2">
      <c r="A389" s="111" t="str">
        <f>IF(F389&lt;&gt;"",1+MAX($A$7:A388),"")</f>
        <v/>
      </c>
      <c r="B389" s="2"/>
      <c r="C389" s="2"/>
      <c r="D389" s="212"/>
      <c r="E389" s="243" t="s">
        <v>56</v>
      </c>
      <c r="F389" s="17"/>
      <c r="G389" s="127"/>
      <c r="H389" s="33">
        <f>(19.4/1.167+1)</f>
        <v>17.623821765209939</v>
      </c>
      <c r="I389" s="34" t="s">
        <v>20</v>
      </c>
      <c r="J389" s="204"/>
      <c r="K389" s="205"/>
      <c r="L389" s="206"/>
    </row>
    <row r="390" spans="1:12" s="187" customFormat="1" x14ac:dyDescent="0.2">
      <c r="A390" s="111">
        <f>IF(F390&lt;&gt;"",1+MAX($A$7:A389),"")</f>
        <v>144</v>
      </c>
      <c r="B390" s="2" t="s">
        <v>112</v>
      </c>
      <c r="C390" s="2" t="s">
        <v>111</v>
      </c>
      <c r="D390" s="212"/>
      <c r="E390" s="213" t="s">
        <v>145</v>
      </c>
      <c r="F390" s="17">
        <f>19.4*2</f>
        <v>38.799999999999997</v>
      </c>
      <c r="G390" s="127">
        <v>0.1</v>
      </c>
      <c r="H390" s="33">
        <f>F390*(1+G390)</f>
        <v>42.68</v>
      </c>
      <c r="I390" s="34" t="s">
        <v>15</v>
      </c>
      <c r="J390" s="204">
        <f>J$362</f>
        <v>0</v>
      </c>
      <c r="K390" s="205">
        <f>J390*H390</f>
        <v>0</v>
      </c>
      <c r="L390" s="206"/>
    </row>
    <row r="391" spans="1:12" s="187" customFormat="1" x14ac:dyDescent="0.2">
      <c r="A391" s="111">
        <f>IF(F391&lt;&gt;"",1+MAX($A$7:A390),"")</f>
        <v>145</v>
      </c>
      <c r="B391" s="2" t="s">
        <v>112</v>
      </c>
      <c r="C391" s="2" t="s">
        <v>111</v>
      </c>
      <c r="D391" s="212"/>
      <c r="E391" s="628" t="s">
        <v>118</v>
      </c>
      <c r="F391" s="461">
        <f>19.4*9.75</f>
        <v>189.14999999999998</v>
      </c>
      <c r="G391" s="127">
        <v>0.1</v>
      </c>
      <c r="H391" s="33">
        <f>F391*(1+G391)</f>
        <v>208.065</v>
      </c>
      <c r="I391" s="34" t="s">
        <v>18</v>
      </c>
      <c r="J391" s="204">
        <f>J$187</f>
        <v>0</v>
      </c>
      <c r="K391" s="205">
        <f>J391*H391</f>
        <v>0</v>
      </c>
      <c r="L391" s="206"/>
    </row>
    <row r="392" spans="1:12" s="187" customFormat="1" x14ac:dyDescent="0.2">
      <c r="A392" s="111" t="str">
        <f>IF(F392&lt;&gt;"",1+MAX($A$7:A391),"")</f>
        <v/>
      </c>
      <c r="B392" s="2"/>
      <c r="C392" s="2"/>
      <c r="D392" s="212"/>
      <c r="E392" s="213"/>
      <c r="F392" s="17"/>
      <c r="G392" s="127"/>
      <c r="H392" s="33"/>
      <c r="I392" s="34"/>
      <c r="J392" s="204"/>
      <c r="K392" s="205"/>
      <c r="L392" s="206"/>
    </row>
    <row r="393" spans="1:12" s="187" customFormat="1" x14ac:dyDescent="0.2">
      <c r="A393" s="111" t="str">
        <f>IF(F393&lt;&gt;"",1+MAX($A$7:A392),"")</f>
        <v/>
      </c>
      <c r="B393" s="207"/>
      <c r="C393" s="207"/>
      <c r="D393" s="201"/>
      <c r="E393" s="208" t="s">
        <v>148</v>
      </c>
      <c r="F393" s="203"/>
      <c r="G393" s="25"/>
      <c r="H393" s="209"/>
      <c r="I393" s="5"/>
      <c r="J393" s="210"/>
      <c r="K393" s="211"/>
      <c r="L393" s="206"/>
    </row>
    <row r="394" spans="1:12" s="187" customFormat="1" x14ac:dyDescent="0.2">
      <c r="A394" s="111">
        <f>IF(F394&lt;&gt;"",1+MAX($A$7:A393),"")</f>
        <v>146</v>
      </c>
      <c r="B394" s="2" t="s">
        <v>112</v>
      </c>
      <c r="C394" s="2" t="s">
        <v>111</v>
      </c>
      <c r="D394" s="212"/>
      <c r="E394" s="213" t="s">
        <v>107</v>
      </c>
      <c r="F394" s="17">
        <f>8.4*9.75*2</f>
        <v>163.80000000000001</v>
      </c>
      <c r="G394" s="127">
        <v>0.1</v>
      </c>
      <c r="H394" s="33">
        <f>F394*(1+G394)</f>
        <v>180.18000000000004</v>
      </c>
      <c r="I394" s="34" t="s">
        <v>18</v>
      </c>
      <c r="J394" s="204">
        <f t="shared" ref="J394:J395" si="72">J$143</f>
        <v>0</v>
      </c>
      <c r="K394" s="205">
        <f>J394*H394</f>
        <v>0</v>
      </c>
      <c r="L394" s="206"/>
    </row>
    <row r="395" spans="1:12" s="187" customFormat="1" x14ac:dyDescent="0.2">
      <c r="A395" s="111">
        <f>IF(F395&lt;&gt;"",1+MAX($A$7:A394),"")</f>
        <v>147</v>
      </c>
      <c r="B395" s="2" t="s">
        <v>112</v>
      </c>
      <c r="C395" s="2" t="s">
        <v>111</v>
      </c>
      <c r="D395" s="212"/>
      <c r="E395" s="213" t="s">
        <v>122</v>
      </c>
      <c r="F395" s="17">
        <f>8.4*9.75</f>
        <v>81.900000000000006</v>
      </c>
      <c r="G395" s="127">
        <v>0.1</v>
      </c>
      <c r="H395" s="33">
        <f>F395*(1+G395)</f>
        <v>90.090000000000018</v>
      </c>
      <c r="I395" s="34" t="s">
        <v>18</v>
      </c>
      <c r="J395" s="204">
        <f t="shared" si="72"/>
        <v>0</v>
      </c>
      <c r="K395" s="205">
        <f>J395*H395</f>
        <v>0</v>
      </c>
      <c r="L395" s="206"/>
    </row>
    <row r="396" spans="1:12" s="187" customFormat="1" x14ac:dyDescent="0.2">
      <c r="A396" s="111" t="str">
        <f>IF(F396&lt;&gt;"",1+MAX($A$7:A395),"")</f>
        <v/>
      </c>
      <c r="B396" s="45"/>
      <c r="C396" s="45"/>
      <c r="D396" s="214"/>
      <c r="E396" s="215" t="s">
        <v>48</v>
      </c>
      <c r="F396" s="216"/>
      <c r="G396" s="217"/>
      <c r="H396" s="33">
        <f>ROUNDUP((H394+H395)/32,0)</f>
        <v>9</v>
      </c>
      <c r="I396" s="34" t="s">
        <v>49</v>
      </c>
      <c r="J396" s="204"/>
      <c r="K396" s="205"/>
      <c r="L396" s="206"/>
    </row>
    <row r="397" spans="1:12" s="187" customFormat="1" x14ac:dyDescent="0.2">
      <c r="A397" s="111" t="str">
        <f>IF(F397&lt;&gt;"",1+MAX($A$7:A396),"")</f>
        <v/>
      </c>
      <c r="B397" s="45"/>
      <c r="C397" s="45"/>
      <c r="D397" s="214"/>
      <c r="E397" s="215" t="s">
        <v>50</v>
      </c>
      <c r="F397" s="216"/>
      <c r="G397" s="217"/>
      <c r="H397" s="33">
        <f>ROUNDUP(H396*24/500,0)</f>
        <v>1</v>
      </c>
      <c r="I397" s="34" t="s">
        <v>51</v>
      </c>
      <c r="J397" s="204"/>
      <c r="K397" s="205"/>
      <c r="L397" s="206"/>
    </row>
    <row r="398" spans="1:12" s="187" customFormat="1" x14ac:dyDescent="0.2">
      <c r="A398" s="111" t="str">
        <f>IF(F398&lt;&gt;"",1+MAX($A$7:A397),"")</f>
        <v/>
      </c>
      <c r="B398" s="45"/>
      <c r="C398" s="45"/>
      <c r="D398" s="214"/>
      <c r="E398" s="215" t="s">
        <v>52</v>
      </c>
      <c r="F398" s="216"/>
      <c r="G398" s="217"/>
      <c r="H398" s="218">
        <f>ROUNDUP((H394+H395)/200,0)</f>
        <v>2</v>
      </c>
      <c r="I398" s="34" t="s">
        <v>53</v>
      </c>
      <c r="J398" s="204"/>
      <c r="K398" s="205"/>
      <c r="L398" s="206"/>
    </row>
    <row r="399" spans="1:12" s="187" customFormat="1" x14ac:dyDescent="0.2">
      <c r="A399" s="111" t="str">
        <f>IF(F399&lt;&gt;"",1+MAX($A$7:A398),"")</f>
        <v/>
      </c>
      <c r="B399" s="45"/>
      <c r="C399" s="45"/>
      <c r="D399" s="214"/>
      <c r="E399" s="215" t="s">
        <v>54</v>
      </c>
      <c r="F399" s="216"/>
      <c r="G399" s="217"/>
      <c r="H399" s="218">
        <f>ROUNDUP((H394+H395)*5.25/1000,0)</f>
        <v>2</v>
      </c>
      <c r="I399" s="34" t="s">
        <v>55</v>
      </c>
      <c r="J399" s="204"/>
      <c r="K399" s="205"/>
      <c r="L399" s="206"/>
    </row>
    <row r="400" spans="1:12" s="187" customFormat="1" x14ac:dyDescent="0.2">
      <c r="A400" s="111">
        <f>IF(F400&lt;&gt;"",1+MAX($A$7:A399),"")</f>
        <v>148</v>
      </c>
      <c r="B400" s="2" t="s">
        <v>112</v>
      </c>
      <c r="C400" s="2" t="s">
        <v>111</v>
      </c>
      <c r="D400" s="214"/>
      <c r="E400" s="213" t="s">
        <v>109</v>
      </c>
      <c r="F400" s="17">
        <f>8.4*4</f>
        <v>33.6</v>
      </c>
      <c r="G400" s="127">
        <v>0.1</v>
      </c>
      <c r="H400" s="33">
        <f>F400*(1+G400)</f>
        <v>36.960000000000008</v>
      </c>
      <c r="I400" s="34" t="s">
        <v>15</v>
      </c>
      <c r="J400" s="204">
        <f>J$148</f>
        <v>0</v>
      </c>
      <c r="K400" s="205">
        <f>J400*H400</f>
        <v>0</v>
      </c>
      <c r="L400" s="206"/>
    </row>
    <row r="401" spans="1:12" s="187" customFormat="1" x14ac:dyDescent="0.2">
      <c r="A401" s="111">
        <f>IF(F401&lt;&gt;"",1+MAX($A$7:A400),"")</f>
        <v>149</v>
      </c>
      <c r="B401" s="2" t="s">
        <v>112</v>
      </c>
      <c r="C401" s="2" t="s">
        <v>111</v>
      </c>
      <c r="D401" s="212"/>
      <c r="E401" s="213" t="s">
        <v>149</v>
      </c>
      <c r="F401" s="17">
        <f>8.4*9.75</f>
        <v>81.900000000000006</v>
      </c>
      <c r="G401" s="127">
        <v>0.1</v>
      </c>
      <c r="H401" s="33">
        <f>F401*(1+G401)</f>
        <v>90.090000000000018</v>
      </c>
      <c r="I401" s="34" t="s">
        <v>18</v>
      </c>
      <c r="J401" s="130">
        <v>0</v>
      </c>
      <c r="K401" s="205">
        <f>J401*H401</f>
        <v>0</v>
      </c>
      <c r="L401" s="206"/>
    </row>
    <row r="402" spans="1:12" s="187" customFormat="1" x14ac:dyDescent="0.2">
      <c r="A402" s="111" t="str">
        <f>IF(F402&lt;&gt;"",1+MAX($A$7:A401),"")</f>
        <v/>
      </c>
      <c r="B402" s="2"/>
      <c r="C402" s="2"/>
      <c r="D402" s="212"/>
      <c r="E402" s="243" t="s">
        <v>56</v>
      </c>
      <c r="F402" s="17"/>
      <c r="G402" s="127"/>
      <c r="H402" s="33">
        <f>(8.4/1.167+1)</f>
        <v>8.1979434447300772</v>
      </c>
      <c r="I402" s="34" t="s">
        <v>20</v>
      </c>
      <c r="J402" s="204"/>
      <c r="K402" s="205"/>
      <c r="L402" s="206"/>
    </row>
    <row r="403" spans="1:12" s="187" customFormat="1" x14ac:dyDescent="0.2">
      <c r="A403" s="111">
        <f>IF(F403&lt;&gt;"",1+MAX($A$7:A402),"")</f>
        <v>150</v>
      </c>
      <c r="B403" s="2" t="s">
        <v>112</v>
      </c>
      <c r="C403" s="2" t="s">
        <v>111</v>
      </c>
      <c r="D403" s="212"/>
      <c r="E403" s="213" t="s">
        <v>150</v>
      </c>
      <c r="F403" s="17">
        <f>8.4*2</f>
        <v>16.8</v>
      </c>
      <c r="G403" s="127">
        <v>0.1</v>
      </c>
      <c r="H403" s="33">
        <f>F403*(1+G403)</f>
        <v>18.480000000000004</v>
      </c>
      <c r="I403" s="34" t="s">
        <v>15</v>
      </c>
      <c r="J403" s="130">
        <v>0</v>
      </c>
      <c r="K403" s="205">
        <f>J403*H403</f>
        <v>0</v>
      </c>
      <c r="L403" s="206"/>
    </row>
    <row r="404" spans="1:12" s="187" customFormat="1" x14ac:dyDescent="0.2">
      <c r="A404" s="111">
        <f>IF(F404&lt;&gt;"",1+MAX($A$7:A403),"")</f>
        <v>151</v>
      </c>
      <c r="B404" s="2" t="s">
        <v>112</v>
      </c>
      <c r="C404" s="2" t="s">
        <v>111</v>
      </c>
      <c r="D404" s="212"/>
      <c r="E404" s="628" t="s">
        <v>119</v>
      </c>
      <c r="F404" s="461">
        <f t="shared" ref="F404" si="73">8.4*9.75</f>
        <v>81.900000000000006</v>
      </c>
      <c r="G404" s="127">
        <v>0.1</v>
      </c>
      <c r="H404" s="33">
        <f>F404*(1+G404)</f>
        <v>90.090000000000018</v>
      </c>
      <c r="I404" s="34" t="s">
        <v>18</v>
      </c>
      <c r="J404" s="204">
        <f>J$226</f>
        <v>0</v>
      </c>
      <c r="K404" s="205">
        <f>J404*H404</f>
        <v>0</v>
      </c>
      <c r="L404" s="206"/>
    </row>
    <row r="405" spans="1:12" s="187" customFormat="1" x14ac:dyDescent="0.2">
      <c r="A405" s="111" t="str">
        <f>IF(F405&lt;&gt;"",1+MAX($A$7:A404),"")</f>
        <v/>
      </c>
      <c r="B405" s="2"/>
      <c r="C405" s="2"/>
      <c r="D405" s="212"/>
      <c r="E405" s="213"/>
      <c r="F405" s="17"/>
      <c r="G405" s="127"/>
      <c r="H405" s="33"/>
      <c r="I405" s="34"/>
      <c r="J405" s="204"/>
      <c r="K405" s="205"/>
      <c r="L405" s="206"/>
    </row>
    <row r="406" spans="1:12" s="187" customFormat="1" x14ac:dyDescent="0.2">
      <c r="A406" s="111" t="str">
        <f>IF(F406&lt;&gt;"",1+MAX($A$7:A405),"")</f>
        <v/>
      </c>
      <c r="B406" s="207"/>
      <c r="C406" s="207"/>
      <c r="D406" s="201"/>
      <c r="E406" s="208" t="s">
        <v>151</v>
      </c>
      <c r="F406" s="203"/>
      <c r="G406" s="25"/>
      <c r="H406" s="209"/>
      <c r="I406" s="5"/>
      <c r="J406" s="210"/>
      <c r="K406" s="211"/>
      <c r="L406" s="206"/>
    </row>
    <row r="407" spans="1:12" s="187" customFormat="1" ht="31.5" x14ac:dyDescent="0.2">
      <c r="A407" s="111">
        <f>IF(F407&lt;&gt;"",1+MAX($A$7:A406),"")</f>
        <v>152</v>
      </c>
      <c r="B407" s="2" t="s">
        <v>112</v>
      </c>
      <c r="C407" s="2" t="s">
        <v>111</v>
      </c>
      <c r="D407" s="212"/>
      <c r="E407" s="213" t="s">
        <v>72</v>
      </c>
      <c r="F407" s="17">
        <f>10.7*9.75*2*2</f>
        <v>417.29999999999995</v>
      </c>
      <c r="G407" s="127">
        <v>0.1</v>
      </c>
      <c r="H407" s="33">
        <f>F407*(1+G407)</f>
        <v>459.03</v>
      </c>
      <c r="I407" s="34" t="s">
        <v>18</v>
      </c>
      <c r="J407" s="204">
        <f>J$143</f>
        <v>0</v>
      </c>
      <c r="K407" s="205">
        <f>J407*H407</f>
        <v>0</v>
      </c>
      <c r="L407" s="206"/>
    </row>
    <row r="408" spans="1:12" s="187" customFormat="1" x14ac:dyDescent="0.2">
      <c r="A408" s="111" t="str">
        <f>IF(F408&lt;&gt;"",1+MAX($A$7:A407),"")</f>
        <v/>
      </c>
      <c r="B408" s="45"/>
      <c r="C408" s="45"/>
      <c r="D408" s="214"/>
      <c r="E408" s="215" t="s">
        <v>48</v>
      </c>
      <c r="F408" s="216"/>
      <c r="G408" s="217"/>
      <c r="H408" s="33">
        <f>ROUNDUP((H407)/32,0)</f>
        <v>15</v>
      </c>
      <c r="I408" s="34" t="s">
        <v>49</v>
      </c>
      <c r="J408" s="204"/>
      <c r="K408" s="205"/>
      <c r="L408" s="206"/>
    </row>
    <row r="409" spans="1:12" s="187" customFormat="1" x14ac:dyDescent="0.2">
      <c r="A409" s="111" t="str">
        <f>IF(F409&lt;&gt;"",1+MAX($A$7:A408),"")</f>
        <v/>
      </c>
      <c r="B409" s="45"/>
      <c r="C409" s="45"/>
      <c r="D409" s="214"/>
      <c r="E409" s="215" t="s">
        <v>50</v>
      </c>
      <c r="F409" s="216"/>
      <c r="G409" s="217"/>
      <c r="H409" s="33">
        <f>ROUNDUP(H408*24/500,0)</f>
        <v>1</v>
      </c>
      <c r="I409" s="34" t="s">
        <v>51</v>
      </c>
      <c r="J409" s="204"/>
      <c r="K409" s="205"/>
      <c r="L409" s="206"/>
    </row>
    <row r="410" spans="1:12" s="187" customFormat="1" x14ac:dyDescent="0.2">
      <c r="A410" s="111" t="str">
        <f>IF(F410&lt;&gt;"",1+MAX($A$7:A409),"")</f>
        <v/>
      </c>
      <c r="B410" s="45"/>
      <c r="C410" s="45"/>
      <c r="D410" s="214"/>
      <c r="E410" s="215" t="s">
        <v>52</v>
      </c>
      <c r="F410" s="216"/>
      <c r="G410" s="217"/>
      <c r="H410" s="218">
        <f>ROUNDUP((H407)/200,0)</f>
        <v>3</v>
      </c>
      <c r="I410" s="34" t="s">
        <v>53</v>
      </c>
      <c r="J410" s="204"/>
      <c r="K410" s="205"/>
      <c r="L410" s="206"/>
    </row>
    <row r="411" spans="1:12" s="187" customFormat="1" x14ac:dyDescent="0.2">
      <c r="A411" s="111" t="str">
        <f>IF(F411&lt;&gt;"",1+MAX($A$7:A410),"")</f>
        <v/>
      </c>
      <c r="B411" s="45"/>
      <c r="C411" s="45"/>
      <c r="D411" s="214"/>
      <c r="E411" s="215" t="s">
        <v>54</v>
      </c>
      <c r="F411" s="216"/>
      <c r="G411" s="217"/>
      <c r="H411" s="218">
        <f>ROUNDUP((H407)*5.25/1000,0)</f>
        <v>3</v>
      </c>
      <c r="I411" s="34" t="s">
        <v>55</v>
      </c>
      <c r="J411" s="204"/>
      <c r="K411" s="205"/>
      <c r="L411" s="206"/>
    </row>
    <row r="412" spans="1:12" s="187" customFormat="1" x14ac:dyDescent="0.2">
      <c r="A412" s="111">
        <f>IF(F412&lt;&gt;"",1+MAX($A$7:A411),"")</f>
        <v>153</v>
      </c>
      <c r="B412" s="2" t="s">
        <v>112</v>
      </c>
      <c r="C412" s="2" t="s">
        <v>111</v>
      </c>
      <c r="D412" s="214"/>
      <c r="E412" s="213" t="s">
        <v>109</v>
      </c>
      <c r="F412" s="17">
        <f>10.7*4</f>
        <v>42.8</v>
      </c>
      <c r="G412" s="127">
        <v>0.1</v>
      </c>
      <c r="H412" s="33">
        <f>F412*(1+G412)</f>
        <v>47.08</v>
      </c>
      <c r="I412" s="34" t="s">
        <v>15</v>
      </c>
      <c r="J412" s="204">
        <f>J$148</f>
        <v>0</v>
      </c>
      <c r="K412" s="205">
        <f>J412*H412</f>
        <v>0</v>
      </c>
      <c r="L412" s="206"/>
    </row>
    <row r="413" spans="1:12" s="187" customFormat="1" x14ac:dyDescent="0.2">
      <c r="A413" s="111">
        <f>IF(F413&lt;&gt;"",1+MAX($A$7:A412),"")</f>
        <v>154</v>
      </c>
      <c r="B413" s="2" t="s">
        <v>112</v>
      </c>
      <c r="C413" s="2" t="s">
        <v>111</v>
      </c>
      <c r="D413" s="212"/>
      <c r="E413" s="213" t="s">
        <v>133</v>
      </c>
      <c r="F413" s="17">
        <f>10.7*9.75</f>
        <v>104.32499999999999</v>
      </c>
      <c r="G413" s="127">
        <v>0.1</v>
      </c>
      <c r="H413" s="33">
        <f>F413*(1+G413)</f>
        <v>114.75749999999999</v>
      </c>
      <c r="I413" s="34" t="s">
        <v>18</v>
      </c>
      <c r="J413" s="204">
        <f>J$149</f>
        <v>0</v>
      </c>
      <c r="K413" s="205">
        <f>J413*H413</f>
        <v>0</v>
      </c>
      <c r="L413" s="206"/>
    </row>
    <row r="414" spans="1:12" s="187" customFormat="1" x14ac:dyDescent="0.2">
      <c r="A414" s="111" t="str">
        <f>IF(F414&lt;&gt;"",1+MAX($A$7:A413),"")</f>
        <v/>
      </c>
      <c r="B414" s="2"/>
      <c r="C414" s="2"/>
      <c r="D414" s="214"/>
      <c r="E414" s="243" t="s">
        <v>56</v>
      </c>
      <c r="F414" s="17"/>
      <c r="G414" s="127"/>
      <c r="H414" s="33">
        <f>(10.7/1.167+1)</f>
        <v>10.168808911739502</v>
      </c>
      <c r="I414" s="34" t="s">
        <v>20</v>
      </c>
      <c r="J414" s="204"/>
      <c r="K414" s="205"/>
      <c r="L414" s="206"/>
    </row>
    <row r="415" spans="1:12" s="187" customFormat="1" x14ac:dyDescent="0.2">
      <c r="A415" s="111">
        <f>IF(F415&lt;&gt;"",1+MAX($A$7:A414),"")</f>
        <v>155</v>
      </c>
      <c r="B415" s="2" t="s">
        <v>112</v>
      </c>
      <c r="C415" s="2" t="s">
        <v>111</v>
      </c>
      <c r="D415" s="214"/>
      <c r="E415" s="213" t="s">
        <v>134</v>
      </c>
      <c r="F415" s="17">
        <f>10.7*4</f>
        <v>42.8</v>
      </c>
      <c r="G415" s="127">
        <v>0.1</v>
      </c>
      <c r="H415" s="33">
        <f>F415*(1+G415)</f>
        <v>47.08</v>
      </c>
      <c r="I415" s="34" t="s">
        <v>15</v>
      </c>
      <c r="J415" s="204">
        <f>J$151</f>
        <v>0</v>
      </c>
      <c r="K415" s="205">
        <f>J415*H415</f>
        <v>0</v>
      </c>
      <c r="L415" s="206"/>
    </row>
    <row r="416" spans="1:12" s="187" customFormat="1" x14ac:dyDescent="0.2">
      <c r="A416" s="111" t="str">
        <f>IF(F416&lt;&gt;"",1+MAX($A$7:A415),"")</f>
        <v/>
      </c>
      <c r="B416" s="2"/>
      <c r="C416" s="2"/>
      <c r="D416" s="214"/>
      <c r="E416" s="213"/>
      <c r="F416" s="17"/>
      <c r="G416" s="127"/>
      <c r="H416" s="33"/>
      <c r="I416" s="34"/>
      <c r="J416" s="204"/>
      <c r="K416" s="205"/>
      <c r="L416" s="206"/>
    </row>
    <row r="417" spans="1:12" s="187" customFormat="1" x14ac:dyDescent="0.2">
      <c r="A417" s="111" t="str">
        <f>IF(F417&lt;&gt;"",1+MAX($A$7:A416),"")</f>
        <v/>
      </c>
      <c r="B417" s="207"/>
      <c r="C417" s="207"/>
      <c r="D417" s="201"/>
      <c r="E417" s="208" t="s">
        <v>152</v>
      </c>
      <c r="F417" s="203"/>
      <c r="G417" s="25"/>
      <c r="H417" s="209"/>
      <c r="I417" s="5"/>
      <c r="J417" s="210"/>
      <c r="K417" s="211"/>
      <c r="L417" s="206"/>
    </row>
    <row r="418" spans="1:12" s="187" customFormat="1" x14ac:dyDescent="0.2">
      <c r="A418" s="111">
        <f>IF(F418&lt;&gt;"",1+MAX($A$7:A417),"")</f>
        <v>156</v>
      </c>
      <c r="B418" s="2" t="s">
        <v>112</v>
      </c>
      <c r="C418" s="2" t="s">
        <v>111</v>
      </c>
      <c r="D418" s="212"/>
      <c r="E418" s="213" t="s">
        <v>122</v>
      </c>
      <c r="F418" s="17">
        <f>31.4*9.75</f>
        <v>306.14999999999998</v>
      </c>
      <c r="G418" s="127">
        <v>0.1</v>
      </c>
      <c r="H418" s="33">
        <f>F418*(1+G418)</f>
        <v>336.76499999999999</v>
      </c>
      <c r="I418" s="34" t="s">
        <v>18</v>
      </c>
      <c r="J418" s="204">
        <f>J$143</f>
        <v>0</v>
      </c>
      <c r="K418" s="205">
        <f>J418*H418</f>
        <v>0</v>
      </c>
      <c r="L418" s="206"/>
    </row>
    <row r="419" spans="1:12" s="187" customFormat="1" x14ac:dyDescent="0.2">
      <c r="A419" s="111" t="str">
        <f>IF(F419&lt;&gt;"",1+MAX($A$7:A418),"")</f>
        <v/>
      </c>
      <c r="B419" s="45"/>
      <c r="C419" s="45"/>
      <c r="D419" s="214"/>
      <c r="E419" s="215" t="s">
        <v>48</v>
      </c>
      <c r="F419" s="216"/>
      <c r="G419" s="217"/>
      <c r="H419" s="33">
        <f>ROUNDUP((H418)/32,0)</f>
        <v>11</v>
      </c>
      <c r="I419" s="34" t="s">
        <v>49</v>
      </c>
      <c r="J419" s="204"/>
      <c r="K419" s="205"/>
      <c r="L419" s="206"/>
    </row>
    <row r="420" spans="1:12" s="187" customFormat="1" x14ac:dyDescent="0.2">
      <c r="A420" s="111" t="str">
        <f>IF(F420&lt;&gt;"",1+MAX($A$7:A419),"")</f>
        <v/>
      </c>
      <c r="B420" s="45"/>
      <c r="C420" s="45"/>
      <c r="D420" s="214"/>
      <c r="E420" s="215" t="s">
        <v>50</v>
      </c>
      <c r="F420" s="216"/>
      <c r="G420" s="217"/>
      <c r="H420" s="33">
        <f>ROUNDUP(H419*24/500,0)</f>
        <v>1</v>
      </c>
      <c r="I420" s="34" t="s">
        <v>51</v>
      </c>
      <c r="J420" s="204"/>
      <c r="K420" s="205"/>
      <c r="L420" s="206"/>
    </row>
    <row r="421" spans="1:12" s="187" customFormat="1" x14ac:dyDescent="0.2">
      <c r="A421" s="111" t="str">
        <f>IF(F421&lt;&gt;"",1+MAX($A$7:A420),"")</f>
        <v/>
      </c>
      <c r="B421" s="45"/>
      <c r="C421" s="45"/>
      <c r="D421" s="214"/>
      <c r="E421" s="215" t="s">
        <v>52</v>
      </c>
      <c r="F421" s="216"/>
      <c r="G421" s="217"/>
      <c r="H421" s="218">
        <f>ROUNDUP((H418)/200,0)</f>
        <v>2</v>
      </c>
      <c r="I421" s="34" t="s">
        <v>53</v>
      </c>
      <c r="J421" s="204"/>
      <c r="K421" s="205"/>
      <c r="L421" s="206"/>
    </row>
    <row r="422" spans="1:12" s="187" customFormat="1" x14ac:dyDescent="0.2">
      <c r="A422" s="111" t="str">
        <f>IF(F422&lt;&gt;"",1+MAX($A$7:A421),"")</f>
        <v/>
      </c>
      <c r="B422" s="45"/>
      <c r="C422" s="45"/>
      <c r="D422" s="214"/>
      <c r="E422" s="215" t="s">
        <v>54</v>
      </c>
      <c r="F422" s="216"/>
      <c r="G422" s="217"/>
      <c r="H422" s="218">
        <f>ROUNDUP((H418)*5.25/1000,0)</f>
        <v>2</v>
      </c>
      <c r="I422" s="34" t="s">
        <v>55</v>
      </c>
      <c r="J422" s="204"/>
      <c r="K422" s="205"/>
      <c r="L422" s="206"/>
    </row>
    <row r="423" spans="1:12" s="187" customFormat="1" x14ac:dyDescent="0.2">
      <c r="A423" s="111">
        <f>IF(F423&lt;&gt;"",1+MAX($A$7:A422),"")</f>
        <v>157</v>
      </c>
      <c r="B423" s="2" t="s">
        <v>112</v>
      </c>
      <c r="C423" s="2" t="s">
        <v>111</v>
      </c>
      <c r="D423" s="212"/>
      <c r="E423" s="213" t="s">
        <v>108</v>
      </c>
      <c r="F423" s="17">
        <f>66*9.75</f>
        <v>643.5</v>
      </c>
      <c r="G423" s="127">
        <v>0.1</v>
      </c>
      <c r="H423" s="33">
        <f>F423*(1+G423)</f>
        <v>707.85</v>
      </c>
      <c r="I423" s="34" t="s">
        <v>18</v>
      </c>
      <c r="J423" s="204">
        <f>J$160</f>
        <v>0</v>
      </c>
      <c r="K423" s="205">
        <f>J423*H423</f>
        <v>0</v>
      </c>
      <c r="L423" s="206"/>
    </row>
    <row r="424" spans="1:12" s="187" customFormat="1" x14ac:dyDescent="0.2">
      <c r="A424" s="111" t="str">
        <f>IF(F424&lt;&gt;"",1+MAX($A$7:A423),"")</f>
        <v/>
      </c>
      <c r="B424" s="45"/>
      <c r="C424" s="45"/>
      <c r="D424" s="214"/>
      <c r="E424" s="215" t="s">
        <v>48</v>
      </c>
      <c r="F424" s="216"/>
      <c r="G424" s="217"/>
      <c r="H424" s="33">
        <f>ROUNDUP((H423)/32,0)</f>
        <v>23</v>
      </c>
      <c r="I424" s="34" t="s">
        <v>49</v>
      </c>
      <c r="J424" s="204"/>
      <c r="K424" s="205"/>
      <c r="L424" s="206"/>
    </row>
    <row r="425" spans="1:12" s="187" customFormat="1" x14ac:dyDescent="0.2">
      <c r="A425" s="111" t="str">
        <f>IF(F425&lt;&gt;"",1+MAX($A$7:A424),"")</f>
        <v/>
      </c>
      <c r="B425" s="45"/>
      <c r="C425" s="45"/>
      <c r="D425" s="214"/>
      <c r="E425" s="215" t="s">
        <v>50</v>
      </c>
      <c r="F425" s="216"/>
      <c r="G425" s="217"/>
      <c r="H425" s="33">
        <f>ROUNDUP(H424*24/500,0)</f>
        <v>2</v>
      </c>
      <c r="I425" s="34" t="s">
        <v>51</v>
      </c>
      <c r="J425" s="204"/>
      <c r="K425" s="205"/>
      <c r="L425" s="206"/>
    </row>
    <row r="426" spans="1:12" s="187" customFormat="1" x14ac:dyDescent="0.2">
      <c r="A426" s="111" t="str">
        <f>IF(F426&lt;&gt;"",1+MAX($A$7:A425),"")</f>
        <v/>
      </c>
      <c r="B426" s="45"/>
      <c r="C426" s="45"/>
      <c r="D426" s="214"/>
      <c r="E426" s="215" t="s">
        <v>52</v>
      </c>
      <c r="F426" s="216"/>
      <c r="G426" s="217"/>
      <c r="H426" s="218">
        <f>ROUNDUP((H423)/200,0)</f>
        <v>4</v>
      </c>
      <c r="I426" s="34" t="s">
        <v>53</v>
      </c>
      <c r="J426" s="204"/>
      <c r="K426" s="205"/>
      <c r="L426" s="206"/>
    </row>
    <row r="427" spans="1:12" s="187" customFormat="1" x14ac:dyDescent="0.2">
      <c r="A427" s="111" t="str">
        <f>IF(F427&lt;&gt;"",1+MAX($A$7:A426),"")</f>
        <v/>
      </c>
      <c r="B427" s="45"/>
      <c r="C427" s="45"/>
      <c r="D427" s="214"/>
      <c r="E427" s="215" t="s">
        <v>54</v>
      </c>
      <c r="F427" s="216"/>
      <c r="G427" s="217"/>
      <c r="H427" s="218">
        <f>ROUNDUP((H423)*5.25/1000,0)</f>
        <v>4</v>
      </c>
      <c r="I427" s="34" t="s">
        <v>55</v>
      </c>
      <c r="J427" s="204"/>
      <c r="K427" s="205"/>
      <c r="L427" s="206"/>
    </row>
    <row r="428" spans="1:12" s="187" customFormat="1" x14ac:dyDescent="0.2">
      <c r="A428" s="111">
        <f>IF(F428&lt;&gt;"",1+MAX($A$7:A427),"")</f>
        <v>158</v>
      </c>
      <c r="B428" s="2" t="s">
        <v>112</v>
      </c>
      <c r="C428" s="2" t="s">
        <v>111</v>
      </c>
      <c r="D428" s="214"/>
      <c r="E428" s="213" t="s">
        <v>109</v>
      </c>
      <c r="F428" s="17">
        <f>97.4*2</f>
        <v>194.8</v>
      </c>
      <c r="G428" s="127">
        <v>0.1</v>
      </c>
      <c r="H428" s="33">
        <f>F428*(1+G428)</f>
        <v>214.28000000000003</v>
      </c>
      <c r="I428" s="34" t="s">
        <v>15</v>
      </c>
      <c r="J428" s="204">
        <f>J$148</f>
        <v>0</v>
      </c>
      <c r="K428" s="205">
        <f>J428*H428</f>
        <v>0</v>
      </c>
      <c r="L428" s="206"/>
    </row>
    <row r="429" spans="1:12" s="187" customFormat="1" x14ac:dyDescent="0.2">
      <c r="A429" s="111" t="str">
        <f>IF(F429&lt;&gt;"",1+MAX($A$7:A428),"")</f>
        <v/>
      </c>
      <c r="B429" s="2"/>
      <c r="C429" s="2"/>
      <c r="D429" s="214"/>
      <c r="E429" s="213"/>
      <c r="F429" s="17"/>
      <c r="G429" s="127"/>
      <c r="H429" s="33"/>
      <c r="I429" s="34"/>
      <c r="J429" s="204"/>
      <c r="K429" s="205"/>
      <c r="L429" s="206"/>
    </row>
    <row r="430" spans="1:12" s="187" customFormat="1" x14ac:dyDescent="0.2">
      <c r="A430" s="111" t="str">
        <f>IF(F430&lt;&gt;"",1+MAX($A$7:A429),"")</f>
        <v/>
      </c>
      <c r="B430" s="207"/>
      <c r="C430" s="207"/>
      <c r="D430" s="201"/>
      <c r="E430" s="208" t="s">
        <v>157</v>
      </c>
      <c r="F430" s="203"/>
      <c r="G430" s="25"/>
      <c r="H430" s="209"/>
      <c r="I430" s="5"/>
      <c r="J430" s="210"/>
      <c r="K430" s="211"/>
      <c r="L430" s="206"/>
    </row>
    <row r="431" spans="1:12" s="187" customFormat="1" x14ac:dyDescent="0.2">
      <c r="A431" s="111">
        <f>IF(F431&lt;&gt;"",1+MAX($A$7:A430),"")</f>
        <v>159</v>
      </c>
      <c r="B431" s="2" t="s">
        <v>112</v>
      </c>
      <c r="C431" s="2" t="s">
        <v>154</v>
      </c>
      <c r="D431" s="212"/>
      <c r="E431" s="213" t="s">
        <v>122</v>
      </c>
      <c r="F431" s="17">
        <f>78.7*9.75+234.3*9.75</f>
        <v>3051.75</v>
      </c>
      <c r="G431" s="127">
        <v>0.1</v>
      </c>
      <c r="H431" s="33">
        <f>F431*(1+G431)</f>
        <v>3356.9250000000002</v>
      </c>
      <c r="I431" s="34" t="s">
        <v>18</v>
      </c>
      <c r="J431" s="204">
        <f>J$143</f>
        <v>0</v>
      </c>
      <c r="K431" s="205">
        <f>J431*H431</f>
        <v>0</v>
      </c>
      <c r="L431" s="206"/>
    </row>
    <row r="432" spans="1:12" s="187" customFormat="1" x14ac:dyDescent="0.2">
      <c r="A432" s="111" t="str">
        <f>IF(F432&lt;&gt;"",1+MAX($A$7:A431),"")</f>
        <v/>
      </c>
      <c r="B432" s="45"/>
      <c r="C432" s="45"/>
      <c r="D432" s="214"/>
      <c r="E432" s="215" t="s">
        <v>48</v>
      </c>
      <c r="F432" s="216"/>
      <c r="G432" s="217"/>
      <c r="H432" s="33">
        <f>ROUNDUP((H431)/32,0)</f>
        <v>105</v>
      </c>
      <c r="I432" s="34" t="s">
        <v>49</v>
      </c>
      <c r="J432" s="204"/>
      <c r="K432" s="205"/>
      <c r="L432" s="206"/>
    </row>
    <row r="433" spans="1:12" s="187" customFormat="1" x14ac:dyDescent="0.2">
      <c r="A433" s="111" t="str">
        <f>IF(F433&lt;&gt;"",1+MAX($A$7:A432),"")</f>
        <v/>
      </c>
      <c r="B433" s="45"/>
      <c r="C433" s="45"/>
      <c r="D433" s="214"/>
      <c r="E433" s="215" t="s">
        <v>50</v>
      </c>
      <c r="F433" s="216"/>
      <c r="G433" s="217"/>
      <c r="H433" s="33">
        <f>ROUNDUP(H432*24/500,0)</f>
        <v>6</v>
      </c>
      <c r="I433" s="34" t="s">
        <v>51</v>
      </c>
      <c r="J433" s="204"/>
      <c r="K433" s="205"/>
      <c r="L433" s="206"/>
    </row>
    <row r="434" spans="1:12" s="187" customFormat="1" x14ac:dyDescent="0.2">
      <c r="A434" s="111" t="str">
        <f>IF(F434&lt;&gt;"",1+MAX($A$7:A433),"")</f>
        <v/>
      </c>
      <c r="B434" s="45"/>
      <c r="C434" s="45"/>
      <c r="D434" s="214"/>
      <c r="E434" s="215" t="s">
        <v>52</v>
      </c>
      <c r="F434" s="216"/>
      <c r="G434" s="217"/>
      <c r="H434" s="218">
        <f>ROUNDUP((H431)/200,0)</f>
        <v>17</v>
      </c>
      <c r="I434" s="34" t="s">
        <v>53</v>
      </c>
      <c r="J434" s="204"/>
      <c r="K434" s="205"/>
      <c r="L434" s="206"/>
    </row>
    <row r="435" spans="1:12" s="187" customFormat="1" x14ac:dyDescent="0.2">
      <c r="A435" s="111" t="str">
        <f>IF(F435&lt;&gt;"",1+MAX($A$7:A434),"")</f>
        <v/>
      </c>
      <c r="B435" s="45"/>
      <c r="C435" s="45"/>
      <c r="D435" s="214"/>
      <c r="E435" s="215" t="s">
        <v>54</v>
      </c>
      <c r="F435" s="216"/>
      <c r="G435" s="217"/>
      <c r="H435" s="218">
        <f>ROUNDUP((H431)*5.25/1000,0)</f>
        <v>18</v>
      </c>
      <c r="I435" s="34" t="s">
        <v>55</v>
      </c>
      <c r="J435" s="204"/>
      <c r="K435" s="205"/>
      <c r="L435" s="206"/>
    </row>
    <row r="436" spans="1:12" s="187" customFormat="1" x14ac:dyDescent="0.2">
      <c r="A436" s="111">
        <f>IF(F436&lt;&gt;"",1+MAX($A$7:A435),"")</f>
        <v>160</v>
      </c>
      <c r="B436" s="2" t="s">
        <v>112</v>
      </c>
      <c r="C436" s="2" t="s">
        <v>154</v>
      </c>
      <c r="D436" s="214"/>
      <c r="E436" s="213" t="s">
        <v>109</v>
      </c>
      <c r="F436" s="17">
        <f>(78.7+234.3)*2</f>
        <v>626</v>
      </c>
      <c r="G436" s="127">
        <v>0.1</v>
      </c>
      <c r="H436" s="33">
        <f>F436*(1+G436)</f>
        <v>688.6</v>
      </c>
      <c r="I436" s="34" t="s">
        <v>15</v>
      </c>
      <c r="J436" s="204">
        <f>J$148</f>
        <v>0</v>
      </c>
      <c r="K436" s="205">
        <f>J436*H436</f>
        <v>0</v>
      </c>
      <c r="L436" s="206"/>
    </row>
    <row r="437" spans="1:12" s="187" customFormat="1" x14ac:dyDescent="0.2">
      <c r="A437" s="111">
        <f>IF(F437&lt;&gt;"",1+MAX($A$7:A436),"")</f>
        <v>161</v>
      </c>
      <c r="B437" s="2" t="s">
        <v>112</v>
      </c>
      <c r="C437" s="2" t="s">
        <v>154</v>
      </c>
      <c r="D437" s="212"/>
      <c r="E437" s="213" t="s">
        <v>153</v>
      </c>
      <c r="F437" s="17">
        <f t="shared" ref="F437" si="74">78.7*9.75+234.3*9.75</f>
        <v>3051.75</v>
      </c>
      <c r="G437" s="127">
        <v>0.1</v>
      </c>
      <c r="H437" s="33">
        <f>F437*(1+G437)</f>
        <v>3356.9250000000002</v>
      </c>
      <c r="I437" s="34" t="s">
        <v>18</v>
      </c>
      <c r="J437" s="204">
        <f>J$360</f>
        <v>0</v>
      </c>
      <c r="K437" s="205">
        <f>J437*H437</f>
        <v>0</v>
      </c>
      <c r="L437" s="206"/>
    </row>
    <row r="438" spans="1:12" s="187" customFormat="1" x14ac:dyDescent="0.2">
      <c r="A438" s="111" t="str">
        <f>IF(F438&lt;&gt;"",1+MAX($A$7:A437),"")</f>
        <v/>
      </c>
      <c r="B438" s="2"/>
      <c r="C438" s="2"/>
      <c r="D438" s="214"/>
      <c r="E438" s="243" t="s">
        <v>56</v>
      </c>
      <c r="F438" s="17"/>
      <c r="G438" s="127"/>
      <c r="H438" s="33">
        <f>((78.7+234.3)/1.167+1)</f>
        <v>269.20908311910881</v>
      </c>
      <c r="I438" s="34" t="s">
        <v>20</v>
      </c>
      <c r="J438" s="204"/>
      <c r="K438" s="205"/>
      <c r="L438" s="206"/>
    </row>
    <row r="439" spans="1:12" s="187" customFormat="1" x14ac:dyDescent="0.2">
      <c r="A439" s="111">
        <f>IF(F439&lt;&gt;"",1+MAX($A$7:A438),"")</f>
        <v>162</v>
      </c>
      <c r="B439" s="2" t="s">
        <v>112</v>
      </c>
      <c r="C439" s="2" t="s">
        <v>154</v>
      </c>
      <c r="D439" s="214"/>
      <c r="E439" s="213" t="s">
        <v>145</v>
      </c>
      <c r="F439" s="17">
        <f>(78.7+234.3)*2</f>
        <v>626</v>
      </c>
      <c r="G439" s="127">
        <v>0.1</v>
      </c>
      <c r="H439" s="33">
        <f>F439*(1+G439)</f>
        <v>688.6</v>
      </c>
      <c r="I439" s="34" t="s">
        <v>15</v>
      </c>
      <c r="J439" s="204">
        <f>J$362</f>
        <v>0</v>
      </c>
      <c r="K439" s="205">
        <f>J439*H439</f>
        <v>0</v>
      </c>
      <c r="L439" s="206"/>
    </row>
    <row r="440" spans="1:12" s="187" customFormat="1" x14ac:dyDescent="0.2">
      <c r="A440" s="111">
        <f>IF(F440&lt;&gt;"",1+MAX($A$7:A439),"")</f>
        <v>163</v>
      </c>
      <c r="B440" s="2" t="s">
        <v>112</v>
      </c>
      <c r="C440" s="2" t="s">
        <v>154</v>
      </c>
      <c r="D440" s="212"/>
      <c r="E440" s="213" t="s">
        <v>484</v>
      </c>
      <c r="F440" s="17">
        <f>(78.7+234.3)*9.75</f>
        <v>3051.75</v>
      </c>
      <c r="G440" s="127">
        <v>0.1</v>
      </c>
      <c r="H440" s="33">
        <f>F440*(1+G440)</f>
        <v>3356.9250000000002</v>
      </c>
      <c r="I440" s="34" t="s">
        <v>18</v>
      </c>
      <c r="J440" s="204">
        <f>J$276</f>
        <v>0</v>
      </c>
      <c r="K440" s="205">
        <f>J440*H440</f>
        <v>0</v>
      </c>
      <c r="L440" s="206"/>
    </row>
    <row r="441" spans="1:12" s="187" customFormat="1" x14ac:dyDescent="0.2">
      <c r="A441" s="111">
        <f>IF(F441&lt;&gt;"",1+MAX($A$7:A440),"")</f>
        <v>164</v>
      </c>
      <c r="B441" s="2" t="s">
        <v>112</v>
      </c>
      <c r="C441" s="2" t="s">
        <v>154</v>
      </c>
      <c r="D441" s="212"/>
      <c r="E441" s="213" t="s">
        <v>155</v>
      </c>
      <c r="F441" s="17">
        <f>(78.7+234.3)*9.75</f>
        <v>3051.75</v>
      </c>
      <c r="G441" s="127">
        <v>0.1</v>
      </c>
      <c r="H441" s="33">
        <f>F441*(1+G441)</f>
        <v>3356.9250000000002</v>
      </c>
      <c r="I441" s="34" t="s">
        <v>18</v>
      </c>
      <c r="J441" s="130">
        <v>0</v>
      </c>
      <c r="K441" s="205">
        <f>J441*H441</f>
        <v>0</v>
      </c>
      <c r="L441" s="206"/>
    </row>
    <row r="442" spans="1:12" s="187" customFormat="1" x14ac:dyDescent="0.2">
      <c r="A442" s="111">
        <f>IF(F442&lt;&gt;"",1+MAX($A$7:A441),"")</f>
        <v>165</v>
      </c>
      <c r="B442" s="2" t="s">
        <v>112</v>
      </c>
      <c r="C442" s="2" t="s">
        <v>154</v>
      </c>
      <c r="D442" s="212"/>
      <c r="E442" s="213" t="s">
        <v>156</v>
      </c>
      <c r="F442" s="17">
        <f>(78.7+234.3)*11</f>
        <v>3443</v>
      </c>
      <c r="G442" s="127">
        <v>0.1</v>
      </c>
      <c r="H442" s="33">
        <f>F442*(1+G442)</f>
        <v>3787.3</v>
      </c>
      <c r="I442" s="34" t="s">
        <v>18</v>
      </c>
      <c r="J442" s="130">
        <v>0</v>
      </c>
      <c r="K442" s="205">
        <f>J442*H442</f>
        <v>0</v>
      </c>
      <c r="L442" s="206"/>
    </row>
    <row r="443" spans="1:12" s="187" customFormat="1" x14ac:dyDescent="0.2">
      <c r="A443" s="111" t="str">
        <f>IF(F443&lt;&gt;"",1+MAX($A$7:A442),"")</f>
        <v/>
      </c>
      <c r="B443" s="2"/>
      <c r="C443" s="2"/>
      <c r="D443" s="214"/>
      <c r="E443" s="213"/>
      <c r="F443" s="17"/>
      <c r="G443" s="127"/>
      <c r="H443" s="33"/>
      <c r="I443" s="34"/>
      <c r="J443" s="204"/>
      <c r="K443" s="205"/>
      <c r="L443" s="206"/>
    </row>
    <row r="444" spans="1:12" s="187" customFormat="1" x14ac:dyDescent="0.2">
      <c r="A444" s="111" t="str">
        <f>IF(F444&lt;&gt;"",1+MAX($A$7:A443),"")</f>
        <v/>
      </c>
      <c r="B444" s="207"/>
      <c r="C444" s="207"/>
      <c r="D444" s="201"/>
      <c r="E444" s="208" t="s">
        <v>158</v>
      </c>
      <c r="F444" s="203"/>
      <c r="G444" s="25"/>
      <c r="H444" s="209"/>
      <c r="I444" s="5"/>
      <c r="J444" s="210"/>
      <c r="K444" s="211"/>
      <c r="L444" s="206"/>
    </row>
    <row r="445" spans="1:12" s="187" customFormat="1" x14ac:dyDescent="0.2">
      <c r="A445" s="111">
        <f>IF(F445&lt;&gt;"",1+MAX($A$7:A444),"")</f>
        <v>166</v>
      </c>
      <c r="B445" s="2" t="s">
        <v>112</v>
      </c>
      <c r="C445" s="2" t="s">
        <v>154</v>
      </c>
      <c r="D445" s="212"/>
      <c r="E445" s="213" t="s">
        <v>122</v>
      </c>
      <c r="F445" s="17">
        <f>446*9.75</f>
        <v>4348.5</v>
      </c>
      <c r="G445" s="127">
        <v>0.1</v>
      </c>
      <c r="H445" s="33">
        <f>F445*(1+G445)</f>
        <v>4783.3500000000004</v>
      </c>
      <c r="I445" s="34" t="s">
        <v>18</v>
      </c>
      <c r="J445" s="204">
        <f>J$143</f>
        <v>0</v>
      </c>
      <c r="K445" s="205">
        <f>J445*H445</f>
        <v>0</v>
      </c>
      <c r="L445" s="206"/>
    </row>
    <row r="446" spans="1:12" s="187" customFormat="1" x14ac:dyDescent="0.2">
      <c r="A446" s="111" t="str">
        <f>IF(F446&lt;&gt;"",1+MAX($A$7:A445),"")</f>
        <v/>
      </c>
      <c r="B446" s="45"/>
      <c r="C446" s="45"/>
      <c r="D446" s="214"/>
      <c r="E446" s="215" t="s">
        <v>48</v>
      </c>
      <c r="F446" s="216"/>
      <c r="G446" s="217"/>
      <c r="H446" s="33">
        <f>ROUNDUP((H445)/32,0)</f>
        <v>150</v>
      </c>
      <c r="I446" s="34" t="s">
        <v>49</v>
      </c>
      <c r="J446" s="204"/>
      <c r="K446" s="205"/>
      <c r="L446" s="206"/>
    </row>
    <row r="447" spans="1:12" s="187" customFormat="1" x14ac:dyDescent="0.2">
      <c r="A447" s="111" t="str">
        <f>IF(F447&lt;&gt;"",1+MAX($A$7:A446),"")</f>
        <v/>
      </c>
      <c r="B447" s="45"/>
      <c r="C447" s="45"/>
      <c r="D447" s="214"/>
      <c r="E447" s="215" t="s">
        <v>50</v>
      </c>
      <c r="F447" s="216"/>
      <c r="G447" s="217"/>
      <c r="H447" s="33">
        <f>ROUNDUP(H446*24/500,0)</f>
        <v>8</v>
      </c>
      <c r="I447" s="34" t="s">
        <v>51</v>
      </c>
      <c r="J447" s="204"/>
      <c r="K447" s="205"/>
      <c r="L447" s="206"/>
    </row>
    <row r="448" spans="1:12" s="187" customFormat="1" x14ac:dyDescent="0.2">
      <c r="A448" s="111" t="str">
        <f>IF(F448&lt;&gt;"",1+MAX($A$7:A447),"")</f>
        <v/>
      </c>
      <c r="B448" s="45"/>
      <c r="C448" s="45"/>
      <c r="D448" s="214"/>
      <c r="E448" s="215" t="s">
        <v>52</v>
      </c>
      <c r="F448" s="216"/>
      <c r="G448" s="217"/>
      <c r="H448" s="218">
        <f>ROUNDUP((H445)/200,0)</f>
        <v>24</v>
      </c>
      <c r="I448" s="34" t="s">
        <v>53</v>
      </c>
      <c r="J448" s="204"/>
      <c r="K448" s="205"/>
      <c r="L448" s="206"/>
    </row>
    <row r="449" spans="1:12" s="187" customFormat="1" x14ac:dyDescent="0.2">
      <c r="A449" s="111" t="str">
        <f>IF(F449&lt;&gt;"",1+MAX($A$7:A448),"")</f>
        <v/>
      </c>
      <c r="B449" s="45"/>
      <c r="C449" s="45"/>
      <c r="D449" s="214"/>
      <c r="E449" s="215" t="s">
        <v>54</v>
      </c>
      <c r="F449" s="216"/>
      <c r="G449" s="217"/>
      <c r="H449" s="218">
        <f>ROUNDUP((H445)*5.25/1000,0)</f>
        <v>26</v>
      </c>
      <c r="I449" s="34" t="s">
        <v>55</v>
      </c>
      <c r="J449" s="204"/>
      <c r="K449" s="205"/>
      <c r="L449" s="206"/>
    </row>
    <row r="450" spans="1:12" s="187" customFormat="1" x14ac:dyDescent="0.2">
      <c r="A450" s="111">
        <f>IF(F450&lt;&gt;"",1+MAX($A$7:A449),"")</f>
        <v>167</v>
      </c>
      <c r="B450" s="2" t="s">
        <v>112</v>
      </c>
      <c r="C450" s="2" t="s">
        <v>154</v>
      </c>
      <c r="D450" s="214"/>
      <c r="E450" s="213" t="s">
        <v>109</v>
      </c>
      <c r="F450" s="17">
        <f>446*2</f>
        <v>892</v>
      </c>
      <c r="G450" s="127">
        <v>0.1</v>
      </c>
      <c r="H450" s="33">
        <f>F450*(1+G450)</f>
        <v>981.2</v>
      </c>
      <c r="I450" s="34" t="s">
        <v>15</v>
      </c>
      <c r="J450" s="204">
        <f>J$148</f>
        <v>0</v>
      </c>
      <c r="K450" s="205">
        <f>J450*H450</f>
        <v>0</v>
      </c>
      <c r="L450" s="206"/>
    </row>
    <row r="451" spans="1:12" s="187" customFormat="1" x14ac:dyDescent="0.2">
      <c r="A451" s="111">
        <f>IF(F451&lt;&gt;"",1+MAX($A$7:A450),"")</f>
        <v>168</v>
      </c>
      <c r="B451" s="2" t="s">
        <v>112</v>
      </c>
      <c r="C451" s="2" t="s">
        <v>154</v>
      </c>
      <c r="D451" s="212"/>
      <c r="E451" s="213" t="s">
        <v>484</v>
      </c>
      <c r="F451" s="17">
        <f t="shared" ref="F451" si="75">446*9.75</f>
        <v>4348.5</v>
      </c>
      <c r="G451" s="127">
        <v>0.1</v>
      </c>
      <c r="H451" s="33">
        <f>F451*(1+G451)</f>
        <v>4783.3500000000004</v>
      </c>
      <c r="I451" s="34" t="s">
        <v>18</v>
      </c>
      <c r="J451" s="204">
        <f>J$276</f>
        <v>0</v>
      </c>
      <c r="K451" s="205">
        <f>J451*H451</f>
        <v>0</v>
      </c>
      <c r="L451" s="206"/>
    </row>
    <row r="452" spans="1:12" s="187" customFormat="1" x14ac:dyDescent="0.2">
      <c r="A452" s="111">
        <f>IF(F452&lt;&gt;"",1+MAX($A$7:A451),"")</f>
        <v>169</v>
      </c>
      <c r="B452" s="2" t="s">
        <v>112</v>
      </c>
      <c r="C452" s="2" t="s">
        <v>154</v>
      </c>
      <c r="D452" s="212"/>
      <c r="E452" s="213" t="s">
        <v>156</v>
      </c>
      <c r="F452" s="17">
        <f>446*11</f>
        <v>4906</v>
      </c>
      <c r="G452" s="127">
        <v>0.1</v>
      </c>
      <c r="H452" s="33">
        <f>F452*(1+G452)</f>
        <v>5396.6</v>
      </c>
      <c r="I452" s="34" t="s">
        <v>18</v>
      </c>
      <c r="J452" s="204">
        <f>J$442</f>
        <v>0</v>
      </c>
      <c r="K452" s="205">
        <f>J452*H452</f>
        <v>0</v>
      </c>
      <c r="L452" s="206"/>
    </row>
    <row r="453" spans="1:12" s="187" customFormat="1" x14ac:dyDescent="0.2">
      <c r="A453" s="111" t="str">
        <f>IF(F453&lt;&gt;"",1+MAX($A$7:A452),"")</f>
        <v/>
      </c>
      <c r="B453" s="2"/>
      <c r="C453" s="2"/>
      <c r="D453" s="214"/>
      <c r="E453" s="213"/>
      <c r="F453" s="17"/>
      <c r="G453" s="127"/>
      <c r="H453" s="33"/>
      <c r="I453" s="34"/>
      <c r="J453" s="204"/>
      <c r="K453" s="205"/>
      <c r="L453" s="206"/>
    </row>
    <row r="454" spans="1:12" s="187" customFormat="1" x14ac:dyDescent="0.2">
      <c r="A454" s="111" t="str">
        <f>IF(F454&lt;&gt;"",1+MAX($A$7:A453),"")</f>
        <v/>
      </c>
      <c r="B454" s="207"/>
      <c r="C454" s="207"/>
      <c r="D454" s="201"/>
      <c r="E454" s="208" t="s">
        <v>159</v>
      </c>
      <c r="F454" s="203"/>
      <c r="G454" s="25"/>
      <c r="H454" s="209"/>
      <c r="I454" s="5"/>
      <c r="J454" s="210"/>
      <c r="K454" s="211"/>
      <c r="L454" s="206"/>
    </row>
    <row r="455" spans="1:12" s="187" customFormat="1" x14ac:dyDescent="0.2">
      <c r="A455" s="111">
        <f>IF(F455&lt;&gt;"",1+MAX($A$7:A454),"")</f>
        <v>170</v>
      </c>
      <c r="B455" s="2" t="s">
        <v>112</v>
      </c>
      <c r="C455" s="2" t="s">
        <v>154</v>
      </c>
      <c r="D455" s="212"/>
      <c r="E455" s="213" t="s">
        <v>140</v>
      </c>
      <c r="F455" s="17">
        <f>34.4*9.75*2</f>
        <v>670.8</v>
      </c>
      <c r="G455" s="127">
        <v>0.1</v>
      </c>
      <c r="H455" s="33">
        <f>F455*(1+G455)</f>
        <v>737.88</v>
      </c>
      <c r="I455" s="34" t="s">
        <v>18</v>
      </c>
      <c r="J455" s="204">
        <f>J$143</f>
        <v>0</v>
      </c>
      <c r="K455" s="205">
        <f>J455*H455</f>
        <v>0</v>
      </c>
      <c r="L455" s="206"/>
    </row>
    <row r="456" spans="1:12" s="187" customFormat="1" x14ac:dyDescent="0.2">
      <c r="A456" s="111" t="str">
        <f>IF(F456&lt;&gt;"",1+MAX($A$7:A455),"")</f>
        <v/>
      </c>
      <c r="B456" s="45"/>
      <c r="C456" s="45"/>
      <c r="D456" s="214"/>
      <c r="E456" s="215" t="s">
        <v>48</v>
      </c>
      <c r="F456" s="216"/>
      <c r="G456" s="217"/>
      <c r="H456" s="33">
        <f>ROUNDUP((H455)/32,0)</f>
        <v>24</v>
      </c>
      <c r="I456" s="34" t="s">
        <v>49</v>
      </c>
      <c r="J456" s="204"/>
      <c r="K456" s="205"/>
      <c r="L456" s="206"/>
    </row>
    <row r="457" spans="1:12" s="187" customFormat="1" x14ac:dyDescent="0.2">
      <c r="A457" s="111" t="str">
        <f>IF(F457&lt;&gt;"",1+MAX($A$7:A456),"")</f>
        <v/>
      </c>
      <c r="B457" s="45"/>
      <c r="C457" s="45"/>
      <c r="D457" s="214"/>
      <c r="E457" s="215" t="s">
        <v>50</v>
      </c>
      <c r="F457" s="216"/>
      <c r="G457" s="217"/>
      <c r="H457" s="33">
        <f>ROUNDUP(H456*24/500,0)</f>
        <v>2</v>
      </c>
      <c r="I457" s="34" t="s">
        <v>51</v>
      </c>
      <c r="J457" s="204"/>
      <c r="K457" s="205"/>
      <c r="L457" s="206"/>
    </row>
    <row r="458" spans="1:12" s="187" customFormat="1" x14ac:dyDescent="0.2">
      <c r="A458" s="111" t="str">
        <f>IF(F458&lt;&gt;"",1+MAX($A$7:A457),"")</f>
        <v/>
      </c>
      <c r="B458" s="45"/>
      <c r="C458" s="45"/>
      <c r="D458" s="214"/>
      <c r="E458" s="215" t="s">
        <v>52</v>
      </c>
      <c r="F458" s="216"/>
      <c r="G458" s="217"/>
      <c r="H458" s="218">
        <f>ROUNDUP((H455)/200,0)</f>
        <v>4</v>
      </c>
      <c r="I458" s="34" t="s">
        <v>53</v>
      </c>
      <c r="J458" s="204"/>
      <c r="K458" s="205"/>
      <c r="L458" s="206"/>
    </row>
    <row r="459" spans="1:12" s="187" customFormat="1" x14ac:dyDescent="0.2">
      <c r="A459" s="111" t="str">
        <f>IF(F459&lt;&gt;"",1+MAX($A$7:A458),"")</f>
        <v/>
      </c>
      <c r="B459" s="45"/>
      <c r="C459" s="45"/>
      <c r="D459" s="214"/>
      <c r="E459" s="215" t="s">
        <v>54</v>
      </c>
      <c r="F459" s="216"/>
      <c r="G459" s="217"/>
      <c r="H459" s="218">
        <f>ROUNDUP((H455)*5.25/1000,0)</f>
        <v>4</v>
      </c>
      <c r="I459" s="34" t="s">
        <v>55</v>
      </c>
      <c r="J459" s="204"/>
      <c r="K459" s="205"/>
      <c r="L459" s="206"/>
    </row>
    <row r="460" spans="1:12" s="187" customFormat="1" x14ac:dyDescent="0.2">
      <c r="A460" s="111">
        <f>IF(F460&lt;&gt;"",1+MAX($A$7:A459),"")</f>
        <v>171</v>
      </c>
      <c r="B460" s="2" t="s">
        <v>112</v>
      </c>
      <c r="C460" s="2" t="s">
        <v>154</v>
      </c>
      <c r="D460" s="214"/>
      <c r="E460" s="213" t="s">
        <v>109</v>
      </c>
      <c r="F460" s="17">
        <f>34.4*2</f>
        <v>68.8</v>
      </c>
      <c r="G460" s="127">
        <v>0.1</v>
      </c>
      <c r="H460" s="33">
        <f>F460*(1+G460)</f>
        <v>75.680000000000007</v>
      </c>
      <c r="I460" s="34" t="s">
        <v>15</v>
      </c>
      <c r="J460" s="204">
        <f>J$148</f>
        <v>0</v>
      </c>
      <c r="K460" s="205">
        <f>J460*H460</f>
        <v>0</v>
      </c>
      <c r="L460" s="206"/>
    </row>
    <row r="461" spans="1:12" s="187" customFormat="1" x14ac:dyDescent="0.2">
      <c r="A461" s="111">
        <f>IF(F461&lt;&gt;"",1+MAX($A$7:A460),"")</f>
        <v>172</v>
      </c>
      <c r="B461" s="2" t="s">
        <v>112</v>
      </c>
      <c r="C461" s="2" t="s">
        <v>154</v>
      </c>
      <c r="D461" s="212"/>
      <c r="E461" s="213" t="s">
        <v>484</v>
      </c>
      <c r="F461" s="17">
        <f>34.4*9.75</f>
        <v>335.4</v>
      </c>
      <c r="G461" s="127">
        <v>0.1</v>
      </c>
      <c r="H461" s="33">
        <f>F461*(1+G461)</f>
        <v>368.94</v>
      </c>
      <c r="I461" s="34" t="s">
        <v>18</v>
      </c>
      <c r="J461" s="204">
        <f>J$276</f>
        <v>0</v>
      </c>
      <c r="K461" s="205">
        <f>J461*H461</f>
        <v>0</v>
      </c>
      <c r="L461" s="206"/>
    </row>
    <row r="462" spans="1:12" s="187" customFormat="1" x14ac:dyDescent="0.2">
      <c r="A462" s="111">
        <f>IF(F462&lt;&gt;"",1+MAX($A$7:A461),"")</f>
        <v>173</v>
      </c>
      <c r="B462" s="2" t="s">
        <v>112</v>
      </c>
      <c r="C462" s="2" t="s">
        <v>154</v>
      </c>
      <c r="D462" s="212"/>
      <c r="E462" s="213" t="s">
        <v>156</v>
      </c>
      <c r="F462" s="17">
        <f>34.4*11</f>
        <v>378.4</v>
      </c>
      <c r="G462" s="127">
        <v>0.1</v>
      </c>
      <c r="H462" s="33">
        <f>F462*(1+G462)</f>
        <v>416.24</v>
      </c>
      <c r="I462" s="34" t="s">
        <v>18</v>
      </c>
      <c r="J462" s="204">
        <f>J$442</f>
        <v>0</v>
      </c>
      <c r="K462" s="205">
        <f>J462*H462</f>
        <v>0</v>
      </c>
      <c r="L462" s="206"/>
    </row>
    <row r="463" spans="1:12" s="187" customFormat="1" x14ac:dyDescent="0.2">
      <c r="A463" s="111" t="str">
        <f>IF(F463&lt;&gt;"",1+MAX($A$7:A462),"")</f>
        <v/>
      </c>
      <c r="B463" s="2"/>
      <c r="C463" s="2"/>
      <c r="D463" s="214"/>
      <c r="E463" s="213"/>
      <c r="F463" s="17"/>
      <c r="G463" s="127"/>
      <c r="H463" s="33"/>
      <c r="I463" s="34"/>
      <c r="J463" s="204"/>
      <c r="K463" s="205"/>
      <c r="L463" s="206"/>
    </row>
    <row r="464" spans="1:12" s="187" customFormat="1" x14ac:dyDescent="0.2">
      <c r="A464" s="111" t="str">
        <f>IF(F464&lt;&gt;"",1+MAX($A$7:A463),"")</f>
        <v/>
      </c>
      <c r="B464" s="32"/>
      <c r="C464" s="200"/>
      <c r="D464" s="201"/>
      <c r="E464" s="202" t="s">
        <v>203</v>
      </c>
      <c r="F464" s="203"/>
      <c r="G464" s="3"/>
      <c r="H464" s="4"/>
      <c r="I464" s="26"/>
      <c r="J464" s="204"/>
      <c r="K464" s="205"/>
      <c r="L464" s="206"/>
    </row>
    <row r="465" spans="1:12" s="187" customFormat="1" x14ac:dyDescent="0.2">
      <c r="A465" s="111" t="str">
        <f>IF(F465&lt;&gt;"",1+MAX($A$7:A464),"")</f>
        <v/>
      </c>
      <c r="B465" s="207"/>
      <c r="C465" s="207"/>
      <c r="D465" s="201"/>
      <c r="E465" s="208" t="s">
        <v>110</v>
      </c>
      <c r="F465" s="203"/>
      <c r="G465" s="25"/>
      <c r="H465" s="209"/>
      <c r="I465" s="5"/>
      <c r="J465" s="210"/>
      <c r="K465" s="211"/>
      <c r="L465" s="206"/>
    </row>
    <row r="466" spans="1:12" s="187" customFormat="1" x14ac:dyDescent="0.2">
      <c r="A466" s="111">
        <f>IF(F466&lt;&gt;"",1+MAX($A$7:A465),"")</f>
        <v>174</v>
      </c>
      <c r="B466" s="2" t="s">
        <v>112</v>
      </c>
      <c r="C466" s="2" t="s">
        <v>111</v>
      </c>
      <c r="D466" s="212"/>
      <c r="E466" s="213" t="s">
        <v>107</v>
      </c>
      <c r="F466" s="17">
        <f>95.2*9*2+46.5*9</f>
        <v>2132.1000000000004</v>
      </c>
      <c r="G466" s="127">
        <v>0.1</v>
      </c>
      <c r="H466" s="33">
        <f>F466*(1+G466)</f>
        <v>2345.3100000000004</v>
      </c>
      <c r="I466" s="34" t="s">
        <v>18</v>
      </c>
      <c r="J466" s="204">
        <f>J$143</f>
        <v>0</v>
      </c>
      <c r="K466" s="205">
        <f>J466*H466</f>
        <v>0</v>
      </c>
      <c r="L466" s="206"/>
    </row>
    <row r="467" spans="1:12" s="187" customFormat="1" x14ac:dyDescent="0.2">
      <c r="A467" s="111" t="str">
        <f>IF(F467&lt;&gt;"",1+MAX($A$7:A466),"")</f>
        <v/>
      </c>
      <c r="B467" s="45"/>
      <c r="C467" s="45"/>
      <c r="D467" s="214"/>
      <c r="E467" s="215" t="s">
        <v>48</v>
      </c>
      <c r="F467" s="216"/>
      <c r="G467" s="217"/>
      <c r="H467" s="33">
        <f>ROUNDUP((H466)/32,0)</f>
        <v>74</v>
      </c>
      <c r="I467" s="34" t="s">
        <v>49</v>
      </c>
      <c r="J467" s="204"/>
      <c r="K467" s="205"/>
      <c r="L467" s="206"/>
    </row>
    <row r="468" spans="1:12" s="187" customFormat="1" x14ac:dyDescent="0.2">
      <c r="A468" s="111" t="str">
        <f>IF(F468&lt;&gt;"",1+MAX($A$7:A467),"")</f>
        <v/>
      </c>
      <c r="B468" s="45"/>
      <c r="C468" s="45"/>
      <c r="D468" s="214"/>
      <c r="E468" s="215" t="s">
        <v>50</v>
      </c>
      <c r="F468" s="216"/>
      <c r="G468" s="217"/>
      <c r="H468" s="33">
        <f>ROUNDUP(H467*24/500,0)</f>
        <v>4</v>
      </c>
      <c r="I468" s="34" t="s">
        <v>51</v>
      </c>
      <c r="J468" s="204"/>
      <c r="K468" s="205"/>
      <c r="L468" s="206"/>
    </row>
    <row r="469" spans="1:12" s="187" customFormat="1" x14ac:dyDescent="0.2">
      <c r="A469" s="111" t="str">
        <f>IF(F469&lt;&gt;"",1+MAX($A$7:A468),"")</f>
        <v/>
      </c>
      <c r="B469" s="45"/>
      <c r="C469" s="45"/>
      <c r="D469" s="214"/>
      <c r="E469" s="215" t="s">
        <v>52</v>
      </c>
      <c r="F469" s="216"/>
      <c r="G469" s="217"/>
      <c r="H469" s="218">
        <f>ROUNDUP((H466)/200,0)</f>
        <v>12</v>
      </c>
      <c r="I469" s="34" t="s">
        <v>53</v>
      </c>
      <c r="J469" s="204"/>
      <c r="K469" s="205"/>
      <c r="L469" s="206"/>
    </row>
    <row r="470" spans="1:12" s="187" customFormat="1" x14ac:dyDescent="0.2">
      <c r="A470" s="111" t="str">
        <f>IF(F470&lt;&gt;"",1+MAX($A$7:A469),"")</f>
        <v/>
      </c>
      <c r="B470" s="45"/>
      <c r="C470" s="45"/>
      <c r="D470" s="214"/>
      <c r="E470" s="215" t="s">
        <v>54</v>
      </c>
      <c r="F470" s="216"/>
      <c r="G470" s="217"/>
      <c r="H470" s="218">
        <f>ROUNDUP((H466)*5.25/1000,0)</f>
        <v>13</v>
      </c>
      <c r="I470" s="34" t="s">
        <v>55</v>
      </c>
      <c r="J470" s="204"/>
      <c r="K470" s="205"/>
      <c r="L470" s="206"/>
    </row>
    <row r="471" spans="1:12" s="187" customFormat="1" x14ac:dyDescent="0.2">
      <c r="A471" s="111">
        <f>IF(F471&lt;&gt;"",1+MAX($A$7:A470),"")</f>
        <v>175</v>
      </c>
      <c r="B471" s="2" t="s">
        <v>112</v>
      </c>
      <c r="C471" s="2" t="s">
        <v>111</v>
      </c>
      <c r="D471" s="212"/>
      <c r="E471" s="213" t="s">
        <v>108</v>
      </c>
      <c r="F471" s="17">
        <f>46.5*9</f>
        <v>418.5</v>
      </c>
      <c r="G471" s="127">
        <v>0.1</v>
      </c>
      <c r="H471" s="33">
        <f>F471*(1+G471)</f>
        <v>460.35</v>
      </c>
      <c r="I471" s="34" t="s">
        <v>18</v>
      </c>
      <c r="J471" s="204">
        <f>J$160</f>
        <v>0</v>
      </c>
      <c r="K471" s="205">
        <f>J471*H471</f>
        <v>0</v>
      </c>
      <c r="L471" s="206"/>
    </row>
    <row r="472" spans="1:12" s="187" customFormat="1" x14ac:dyDescent="0.2">
      <c r="A472" s="111" t="str">
        <f>IF(F472&lt;&gt;"",1+MAX($A$7:A471),"")</f>
        <v/>
      </c>
      <c r="B472" s="45"/>
      <c r="C472" s="45"/>
      <c r="D472" s="214"/>
      <c r="E472" s="215" t="s">
        <v>48</v>
      </c>
      <c r="F472" s="216"/>
      <c r="G472" s="217"/>
      <c r="H472" s="33">
        <f>ROUNDUP((H471)/32,0)</f>
        <v>15</v>
      </c>
      <c r="I472" s="34" t="s">
        <v>49</v>
      </c>
      <c r="J472" s="204"/>
      <c r="K472" s="205"/>
      <c r="L472" s="206"/>
    </row>
    <row r="473" spans="1:12" s="187" customFormat="1" x14ac:dyDescent="0.2">
      <c r="A473" s="111" t="str">
        <f>IF(F473&lt;&gt;"",1+MAX($A$7:A472),"")</f>
        <v/>
      </c>
      <c r="B473" s="45"/>
      <c r="C473" s="45"/>
      <c r="D473" s="214"/>
      <c r="E473" s="215" t="s">
        <v>50</v>
      </c>
      <c r="F473" s="216"/>
      <c r="G473" s="217"/>
      <c r="H473" s="33">
        <f>ROUNDUP(H472*24/500,0)</f>
        <v>1</v>
      </c>
      <c r="I473" s="34" t="s">
        <v>51</v>
      </c>
      <c r="J473" s="204"/>
      <c r="K473" s="205"/>
      <c r="L473" s="206"/>
    </row>
    <row r="474" spans="1:12" s="187" customFormat="1" x14ac:dyDescent="0.2">
      <c r="A474" s="111" t="str">
        <f>IF(F474&lt;&gt;"",1+MAX($A$7:A473),"")</f>
        <v/>
      </c>
      <c r="B474" s="45"/>
      <c r="C474" s="45"/>
      <c r="D474" s="214"/>
      <c r="E474" s="215" t="s">
        <v>52</v>
      </c>
      <c r="F474" s="216"/>
      <c r="G474" s="217"/>
      <c r="H474" s="218">
        <f>ROUNDUP((H471)/200,0)</f>
        <v>3</v>
      </c>
      <c r="I474" s="34" t="s">
        <v>53</v>
      </c>
      <c r="J474" s="204"/>
      <c r="K474" s="205"/>
      <c r="L474" s="206"/>
    </row>
    <row r="475" spans="1:12" s="187" customFormat="1" x14ac:dyDescent="0.2">
      <c r="A475" s="111" t="str">
        <f>IF(F475&lt;&gt;"",1+MAX($A$7:A474),"")</f>
        <v/>
      </c>
      <c r="B475" s="45"/>
      <c r="C475" s="45"/>
      <c r="D475" s="214"/>
      <c r="E475" s="215" t="s">
        <v>54</v>
      </c>
      <c r="F475" s="216"/>
      <c r="G475" s="217"/>
      <c r="H475" s="218">
        <f>ROUNDUP((H471)*5.25/1000,0)</f>
        <v>3</v>
      </c>
      <c r="I475" s="34" t="s">
        <v>55</v>
      </c>
      <c r="J475" s="204"/>
      <c r="K475" s="205"/>
      <c r="L475" s="206"/>
    </row>
    <row r="476" spans="1:12" s="187" customFormat="1" x14ac:dyDescent="0.2">
      <c r="A476" s="111">
        <f>IF(F476&lt;&gt;"",1+MAX($A$7:A475),"")</f>
        <v>176</v>
      </c>
      <c r="B476" s="2" t="s">
        <v>112</v>
      </c>
      <c r="C476" s="2" t="s">
        <v>111</v>
      </c>
      <c r="D476" s="214"/>
      <c r="E476" s="213" t="s">
        <v>109</v>
      </c>
      <c r="F476" s="17">
        <f>141.7*4</f>
        <v>566.79999999999995</v>
      </c>
      <c r="G476" s="127">
        <v>0.1</v>
      </c>
      <c r="H476" s="33">
        <f>F476*(1+G476)</f>
        <v>623.48</v>
      </c>
      <c r="I476" s="34" t="s">
        <v>15</v>
      </c>
      <c r="J476" s="204">
        <f>J$148</f>
        <v>0</v>
      </c>
      <c r="K476" s="205">
        <f>J476*H476</f>
        <v>0</v>
      </c>
      <c r="L476" s="206"/>
    </row>
    <row r="477" spans="1:12" s="187" customFormat="1" x14ac:dyDescent="0.2">
      <c r="A477" s="111" t="str">
        <f>IF(F477&lt;&gt;"",1+MAX($A$7:A476),"")</f>
        <v/>
      </c>
      <c r="B477" s="2"/>
      <c r="C477" s="2"/>
      <c r="D477" s="214"/>
      <c r="E477" s="213"/>
      <c r="F477" s="17"/>
      <c r="G477" s="127"/>
      <c r="H477" s="33"/>
      <c r="I477" s="34"/>
      <c r="J477" s="204"/>
      <c r="K477" s="205"/>
      <c r="L477" s="206"/>
    </row>
    <row r="478" spans="1:12" s="187" customFormat="1" x14ac:dyDescent="0.2">
      <c r="A478" s="111" t="str">
        <f>IF(F478&lt;&gt;"",1+MAX($A$7:A477),"")</f>
        <v/>
      </c>
      <c r="B478" s="207"/>
      <c r="C478" s="207"/>
      <c r="D478" s="201"/>
      <c r="E478" s="208" t="s">
        <v>113</v>
      </c>
      <c r="F478" s="203"/>
      <c r="G478" s="25"/>
      <c r="H478" s="209"/>
      <c r="I478" s="5"/>
      <c r="J478" s="210"/>
      <c r="K478" s="211"/>
      <c r="L478" s="206"/>
    </row>
    <row r="479" spans="1:12" s="187" customFormat="1" x14ac:dyDescent="0.2">
      <c r="A479" s="111">
        <f>IF(F479&lt;&gt;"",1+MAX($A$7:A478),"")</f>
        <v>177</v>
      </c>
      <c r="B479" s="2" t="s">
        <v>112</v>
      </c>
      <c r="C479" s="2" t="s">
        <v>111</v>
      </c>
      <c r="D479" s="212"/>
      <c r="E479" s="213" t="s">
        <v>107</v>
      </c>
      <c r="F479" s="17">
        <f>1303.3*9*2+345.6*9+17.4*3.5*2</f>
        <v>26691.599999999999</v>
      </c>
      <c r="G479" s="127">
        <v>0.1</v>
      </c>
      <c r="H479" s="33">
        <f>F479*(1+G479)</f>
        <v>29360.760000000002</v>
      </c>
      <c r="I479" s="34" t="s">
        <v>18</v>
      </c>
      <c r="J479" s="204">
        <f>J$143</f>
        <v>0</v>
      </c>
      <c r="K479" s="205">
        <f>J479*H479</f>
        <v>0</v>
      </c>
      <c r="L479" s="206"/>
    </row>
    <row r="480" spans="1:12" s="187" customFormat="1" x14ac:dyDescent="0.2">
      <c r="A480" s="111" t="str">
        <f>IF(F480&lt;&gt;"",1+MAX($A$7:A479),"")</f>
        <v/>
      </c>
      <c r="B480" s="45"/>
      <c r="C480" s="45"/>
      <c r="D480" s="214"/>
      <c r="E480" s="215" t="s">
        <v>48</v>
      </c>
      <c r="F480" s="216"/>
      <c r="G480" s="217"/>
      <c r="H480" s="33">
        <f>ROUNDUP((H479)/32,0)</f>
        <v>918</v>
      </c>
      <c r="I480" s="34" t="s">
        <v>49</v>
      </c>
      <c r="J480" s="204"/>
      <c r="K480" s="205"/>
      <c r="L480" s="206"/>
    </row>
    <row r="481" spans="1:12" s="187" customFormat="1" x14ac:dyDescent="0.2">
      <c r="A481" s="111" t="str">
        <f>IF(F481&lt;&gt;"",1+MAX($A$7:A480),"")</f>
        <v/>
      </c>
      <c r="B481" s="45"/>
      <c r="C481" s="45"/>
      <c r="D481" s="214"/>
      <c r="E481" s="215" t="s">
        <v>50</v>
      </c>
      <c r="F481" s="216"/>
      <c r="G481" s="217"/>
      <c r="H481" s="33">
        <f>ROUNDUP(H480*24/500,0)</f>
        <v>45</v>
      </c>
      <c r="I481" s="34" t="s">
        <v>51</v>
      </c>
      <c r="J481" s="204"/>
      <c r="K481" s="205"/>
      <c r="L481" s="206"/>
    </row>
    <row r="482" spans="1:12" s="187" customFormat="1" x14ac:dyDescent="0.2">
      <c r="A482" s="111" t="str">
        <f>IF(F482&lt;&gt;"",1+MAX($A$7:A481),"")</f>
        <v/>
      </c>
      <c r="B482" s="45"/>
      <c r="C482" s="45"/>
      <c r="D482" s="214"/>
      <c r="E482" s="215" t="s">
        <v>52</v>
      </c>
      <c r="F482" s="216"/>
      <c r="G482" s="217"/>
      <c r="H482" s="218">
        <f>ROUNDUP((H479)/200,0)</f>
        <v>147</v>
      </c>
      <c r="I482" s="34" t="s">
        <v>53</v>
      </c>
      <c r="J482" s="204"/>
      <c r="K482" s="205"/>
      <c r="L482" s="206"/>
    </row>
    <row r="483" spans="1:12" s="187" customFormat="1" x14ac:dyDescent="0.2">
      <c r="A483" s="111" t="str">
        <f>IF(F483&lt;&gt;"",1+MAX($A$7:A482),"")</f>
        <v/>
      </c>
      <c r="B483" s="45"/>
      <c r="C483" s="45"/>
      <c r="D483" s="214"/>
      <c r="E483" s="215" t="s">
        <v>54</v>
      </c>
      <c r="F483" s="216"/>
      <c r="G483" s="217"/>
      <c r="H483" s="218">
        <f>ROUNDUP((H479)*5.25/1000,0)</f>
        <v>155</v>
      </c>
      <c r="I483" s="34" t="s">
        <v>55</v>
      </c>
      <c r="J483" s="204"/>
      <c r="K483" s="205"/>
      <c r="L483" s="206"/>
    </row>
    <row r="484" spans="1:12" s="187" customFormat="1" x14ac:dyDescent="0.2">
      <c r="A484" s="111">
        <f>IF(F484&lt;&gt;"",1+MAX($A$7:A483),"")</f>
        <v>178</v>
      </c>
      <c r="B484" s="2" t="s">
        <v>112</v>
      </c>
      <c r="C484" s="2" t="s">
        <v>111</v>
      </c>
      <c r="D484" s="212"/>
      <c r="E484" s="213" t="s">
        <v>108</v>
      </c>
      <c r="F484" s="17">
        <f>345.6*9</f>
        <v>3110.4</v>
      </c>
      <c r="G484" s="127">
        <v>0.1</v>
      </c>
      <c r="H484" s="33">
        <f>F484*(1+G484)</f>
        <v>3421.4400000000005</v>
      </c>
      <c r="I484" s="34" t="s">
        <v>18</v>
      </c>
      <c r="J484" s="204">
        <f>J$160</f>
        <v>0</v>
      </c>
      <c r="K484" s="205">
        <f>J484*H484</f>
        <v>0</v>
      </c>
      <c r="L484" s="206"/>
    </row>
    <row r="485" spans="1:12" s="187" customFormat="1" x14ac:dyDescent="0.2">
      <c r="A485" s="111" t="str">
        <f>IF(F485&lt;&gt;"",1+MAX($A$7:A484),"")</f>
        <v/>
      </c>
      <c r="B485" s="45"/>
      <c r="C485" s="45"/>
      <c r="D485" s="214"/>
      <c r="E485" s="215" t="s">
        <v>48</v>
      </c>
      <c r="F485" s="216"/>
      <c r="G485" s="217"/>
      <c r="H485" s="33">
        <f>ROUNDUP((H484)/32,0)</f>
        <v>107</v>
      </c>
      <c r="I485" s="34" t="s">
        <v>49</v>
      </c>
      <c r="J485" s="204"/>
      <c r="K485" s="205"/>
      <c r="L485" s="206"/>
    </row>
    <row r="486" spans="1:12" s="187" customFormat="1" x14ac:dyDescent="0.2">
      <c r="A486" s="111" t="str">
        <f>IF(F486&lt;&gt;"",1+MAX($A$7:A485),"")</f>
        <v/>
      </c>
      <c r="B486" s="45"/>
      <c r="C486" s="45"/>
      <c r="D486" s="214"/>
      <c r="E486" s="215" t="s">
        <v>50</v>
      </c>
      <c r="F486" s="216"/>
      <c r="G486" s="217"/>
      <c r="H486" s="33">
        <f>ROUNDUP(H485*24/500,0)</f>
        <v>6</v>
      </c>
      <c r="I486" s="34" t="s">
        <v>51</v>
      </c>
      <c r="J486" s="204"/>
      <c r="K486" s="205"/>
      <c r="L486" s="206"/>
    </row>
    <row r="487" spans="1:12" s="187" customFormat="1" x14ac:dyDescent="0.2">
      <c r="A487" s="111" t="str">
        <f>IF(F487&lt;&gt;"",1+MAX($A$7:A486),"")</f>
        <v/>
      </c>
      <c r="B487" s="45"/>
      <c r="C487" s="45"/>
      <c r="D487" s="214"/>
      <c r="E487" s="215" t="s">
        <v>52</v>
      </c>
      <c r="F487" s="216"/>
      <c r="G487" s="217"/>
      <c r="H487" s="218">
        <f>ROUNDUP((H484)/200,0)</f>
        <v>18</v>
      </c>
      <c r="I487" s="34" t="s">
        <v>53</v>
      </c>
      <c r="J487" s="204"/>
      <c r="K487" s="205"/>
      <c r="L487" s="206"/>
    </row>
    <row r="488" spans="1:12" s="187" customFormat="1" x14ac:dyDescent="0.2">
      <c r="A488" s="111" t="str">
        <f>IF(F488&lt;&gt;"",1+MAX($A$7:A487),"")</f>
        <v/>
      </c>
      <c r="B488" s="45"/>
      <c r="C488" s="45"/>
      <c r="D488" s="214"/>
      <c r="E488" s="215" t="s">
        <v>54</v>
      </c>
      <c r="F488" s="216"/>
      <c r="G488" s="217"/>
      <c r="H488" s="218">
        <f>ROUNDUP((H484)*5.25/1000,0)</f>
        <v>18</v>
      </c>
      <c r="I488" s="34" t="s">
        <v>55</v>
      </c>
      <c r="J488" s="204"/>
      <c r="K488" s="205"/>
      <c r="L488" s="206"/>
    </row>
    <row r="489" spans="1:12" s="187" customFormat="1" x14ac:dyDescent="0.2">
      <c r="A489" s="111">
        <f>IF(F489&lt;&gt;"",1+MAX($A$7:A488),"")</f>
        <v>179</v>
      </c>
      <c r="B489" s="2" t="s">
        <v>112</v>
      </c>
      <c r="C489" s="2" t="s">
        <v>111</v>
      </c>
      <c r="D489" s="214"/>
      <c r="E489" s="213" t="s">
        <v>109</v>
      </c>
      <c r="F489" s="17">
        <f>1648.9*4+17.4*4</f>
        <v>6665.2000000000007</v>
      </c>
      <c r="G489" s="127">
        <v>0.1</v>
      </c>
      <c r="H489" s="33">
        <f>F489*(1+G489)</f>
        <v>7331.7200000000012</v>
      </c>
      <c r="I489" s="34" t="s">
        <v>15</v>
      </c>
      <c r="J489" s="204">
        <f>J$148</f>
        <v>0</v>
      </c>
      <c r="K489" s="205">
        <f>J489*H489</f>
        <v>0</v>
      </c>
      <c r="L489" s="206"/>
    </row>
    <row r="490" spans="1:12" s="187" customFormat="1" x14ac:dyDescent="0.2">
      <c r="A490" s="111" t="str">
        <f>IF(F490&lt;&gt;"",1+MAX($A$7:A489),"")</f>
        <v/>
      </c>
      <c r="B490" s="2"/>
      <c r="C490" s="2"/>
      <c r="D490" s="214"/>
      <c r="E490" s="213"/>
      <c r="F490" s="17"/>
      <c r="G490" s="127"/>
      <c r="H490" s="33"/>
      <c r="I490" s="34"/>
      <c r="J490" s="204"/>
      <c r="K490" s="205"/>
      <c r="L490" s="206"/>
    </row>
    <row r="491" spans="1:12" s="187" customFormat="1" x14ac:dyDescent="0.2">
      <c r="A491" s="111" t="str">
        <f>IF(F491&lt;&gt;"",1+MAX($A$7:A490),"")</f>
        <v/>
      </c>
      <c r="B491" s="207"/>
      <c r="C491" s="207"/>
      <c r="D491" s="201"/>
      <c r="E491" s="208" t="s">
        <v>114</v>
      </c>
      <c r="F491" s="203"/>
      <c r="G491" s="25"/>
      <c r="H491" s="209"/>
      <c r="I491" s="5"/>
      <c r="J491" s="210"/>
      <c r="K491" s="211"/>
      <c r="L491" s="206"/>
    </row>
    <row r="492" spans="1:12" s="187" customFormat="1" x14ac:dyDescent="0.2">
      <c r="A492" s="111">
        <f>IF(F492&lt;&gt;"",1+MAX($A$7:A491),"")</f>
        <v>180</v>
      </c>
      <c r="B492" s="2" t="s">
        <v>112</v>
      </c>
      <c r="C492" s="2" t="s">
        <v>111</v>
      </c>
      <c r="D492" s="212"/>
      <c r="E492" s="213" t="s">
        <v>107</v>
      </c>
      <c r="F492" s="17">
        <f>8.2*9</f>
        <v>73.8</v>
      </c>
      <c r="G492" s="127">
        <v>0.1</v>
      </c>
      <c r="H492" s="33">
        <f>F492*(1+G492)</f>
        <v>81.180000000000007</v>
      </c>
      <c r="I492" s="34" t="s">
        <v>18</v>
      </c>
      <c r="J492" s="204">
        <f>J$143</f>
        <v>0</v>
      </c>
      <c r="K492" s="205">
        <f>J492*H492</f>
        <v>0</v>
      </c>
      <c r="L492" s="206"/>
    </row>
    <row r="493" spans="1:12" s="187" customFormat="1" x14ac:dyDescent="0.2">
      <c r="A493" s="111" t="str">
        <f>IF(F493&lt;&gt;"",1+MAX($A$7:A492),"")</f>
        <v/>
      </c>
      <c r="B493" s="45"/>
      <c r="C493" s="45"/>
      <c r="D493" s="214"/>
      <c r="E493" s="215" t="s">
        <v>48</v>
      </c>
      <c r="F493" s="216"/>
      <c r="G493" s="217"/>
      <c r="H493" s="33">
        <f>ROUNDUP((H492)/32,0)</f>
        <v>3</v>
      </c>
      <c r="I493" s="34" t="s">
        <v>49</v>
      </c>
      <c r="J493" s="204"/>
      <c r="K493" s="205"/>
      <c r="L493" s="206"/>
    </row>
    <row r="494" spans="1:12" s="187" customFormat="1" x14ac:dyDescent="0.2">
      <c r="A494" s="111" t="str">
        <f>IF(F494&lt;&gt;"",1+MAX($A$7:A493),"")</f>
        <v/>
      </c>
      <c r="B494" s="45"/>
      <c r="C494" s="45"/>
      <c r="D494" s="214"/>
      <c r="E494" s="215" t="s">
        <v>50</v>
      </c>
      <c r="F494" s="216"/>
      <c r="G494" s="217"/>
      <c r="H494" s="33">
        <f>ROUNDUP(H493*24/500,0)</f>
        <v>1</v>
      </c>
      <c r="I494" s="34" t="s">
        <v>51</v>
      </c>
      <c r="J494" s="204"/>
      <c r="K494" s="205"/>
      <c r="L494" s="206"/>
    </row>
    <row r="495" spans="1:12" s="187" customFormat="1" x14ac:dyDescent="0.2">
      <c r="A495" s="111" t="str">
        <f>IF(F495&lt;&gt;"",1+MAX($A$7:A494),"")</f>
        <v/>
      </c>
      <c r="B495" s="45"/>
      <c r="C495" s="45"/>
      <c r="D495" s="214"/>
      <c r="E495" s="215" t="s">
        <v>52</v>
      </c>
      <c r="F495" s="216"/>
      <c r="G495" s="217"/>
      <c r="H495" s="218">
        <f>ROUNDUP((H492)/200,0)</f>
        <v>1</v>
      </c>
      <c r="I495" s="34" t="s">
        <v>53</v>
      </c>
      <c r="J495" s="204"/>
      <c r="K495" s="205"/>
      <c r="L495" s="206"/>
    </row>
    <row r="496" spans="1:12" s="187" customFormat="1" x14ac:dyDescent="0.2">
      <c r="A496" s="111" t="str">
        <f>IF(F496&lt;&gt;"",1+MAX($A$7:A495),"")</f>
        <v/>
      </c>
      <c r="B496" s="45"/>
      <c r="C496" s="45"/>
      <c r="D496" s="214"/>
      <c r="E496" s="215" t="s">
        <v>54</v>
      </c>
      <c r="F496" s="216"/>
      <c r="G496" s="217"/>
      <c r="H496" s="218">
        <f>ROUNDUP((H492)*5.25/1000,0)</f>
        <v>1</v>
      </c>
      <c r="I496" s="34" t="s">
        <v>55</v>
      </c>
      <c r="J496" s="204"/>
      <c r="K496" s="205"/>
      <c r="L496" s="206"/>
    </row>
    <row r="497" spans="1:12" s="187" customFormat="1" x14ac:dyDescent="0.2">
      <c r="A497" s="111">
        <f>IF(F497&lt;&gt;"",1+MAX($A$7:A496),"")</f>
        <v>181</v>
      </c>
      <c r="B497" s="2" t="s">
        <v>112</v>
      </c>
      <c r="C497" s="2" t="s">
        <v>111</v>
      </c>
      <c r="D497" s="212"/>
      <c r="E497" s="213" t="s">
        <v>108</v>
      </c>
      <c r="F497" s="17">
        <f>8.2*9</f>
        <v>73.8</v>
      </c>
      <c r="G497" s="127">
        <v>0.1</v>
      </c>
      <c r="H497" s="33">
        <f>F497*(1+G497)</f>
        <v>81.180000000000007</v>
      </c>
      <c r="I497" s="34" t="s">
        <v>18</v>
      </c>
      <c r="J497" s="204">
        <f>J$160</f>
        <v>0</v>
      </c>
      <c r="K497" s="205">
        <f>J497*H497</f>
        <v>0</v>
      </c>
      <c r="L497" s="206"/>
    </row>
    <row r="498" spans="1:12" s="187" customFormat="1" x14ac:dyDescent="0.2">
      <c r="A498" s="111" t="str">
        <f>IF(F498&lt;&gt;"",1+MAX($A$7:A497),"")</f>
        <v/>
      </c>
      <c r="B498" s="45"/>
      <c r="C498" s="45"/>
      <c r="D498" s="214"/>
      <c r="E498" s="215" t="s">
        <v>48</v>
      </c>
      <c r="F498" s="216"/>
      <c r="G498" s="217"/>
      <c r="H498" s="33">
        <f>ROUNDUP((H497)/32,0)</f>
        <v>3</v>
      </c>
      <c r="I498" s="34" t="s">
        <v>49</v>
      </c>
      <c r="J498" s="204"/>
      <c r="K498" s="205"/>
      <c r="L498" s="206"/>
    </row>
    <row r="499" spans="1:12" s="187" customFormat="1" x14ac:dyDescent="0.2">
      <c r="A499" s="111" t="str">
        <f>IF(F499&lt;&gt;"",1+MAX($A$7:A498),"")</f>
        <v/>
      </c>
      <c r="B499" s="45"/>
      <c r="C499" s="45"/>
      <c r="D499" s="214"/>
      <c r="E499" s="215" t="s">
        <v>50</v>
      </c>
      <c r="F499" s="216"/>
      <c r="G499" s="217"/>
      <c r="H499" s="33">
        <f>ROUNDUP(H498*24/500,0)</f>
        <v>1</v>
      </c>
      <c r="I499" s="34" t="s">
        <v>51</v>
      </c>
      <c r="J499" s="204"/>
      <c r="K499" s="205"/>
      <c r="L499" s="206"/>
    </row>
    <row r="500" spans="1:12" s="187" customFormat="1" x14ac:dyDescent="0.2">
      <c r="A500" s="111" t="str">
        <f>IF(F500&lt;&gt;"",1+MAX($A$7:A499),"")</f>
        <v/>
      </c>
      <c r="B500" s="45"/>
      <c r="C500" s="45"/>
      <c r="D500" s="214"/>
      <c r="E500" s="215" t="s">
        <v>52</v>
      </c>
      <c r="F500" s="216"/>
      <c r="G500" s="217"/>
      <c r="H500" s="218">
        <f>ROUNDUP((H497)/200,0)</f>
        <v>1</v>
      </c>
      <c r="I500" s="34" t="s">
        <v>53</v>
      </c>
      <c r="J500" s="204"/>
      <c r="K500" s="205"/>
      <c r="L500" s="206"/>
    </row>
    <row r="501" spans="1:12" s="187" customFormat="1" x14ac:dyDescent="0.2">
      <c r="A501" s="111" t="str">
        <f>IF(F501&lt;&gt;"",1+MAX($A$7:A500),"")</f>
        <v/>
      </c>
      <c r="B501" s="45"/>
      <c r="C501" s="45"/>
      <c r="D501" s="214"/>
      <c r="E501" s="215" t="s">
        <v>54</v>
      </c>
      <c r="F501" s="216"/>
      <c r="G501" s="217"/>
      <c r="H501" s="218">
        <f>ROUNDUP((H497)*5.25/1000,0)</f>
        <v>1</v>
      </c>
      <c r="I501" s="34" t="s">
        <v>55</v>
      </c>
      <c r="J501" s="204"/>
      <c r="K501" s="205"/>
      <c r="L501" s="206"/>
    </row>
    <row r="502" spans="1:12" s="187" customFormat="1" x14ac:dyDescent="0.2">
      <c r="A502" s="111">
        <f>IF(F502&lt;&gt;"",1+MAX($A$7:A501),"")</f>
        <v>182</v>
      </c>
      <c r="B502" s="2" t="s">
        <v>112</v>
      </c>
      <c r="C502" s="2" t="s">
        <v>111</v>
      </c>
      <c r="D502" s="214"/>
      <c r="E502" s="213" t="s">
        <v>109</v>
      </c>
      <c r="F502" s="17">
        <f>8.2*4</f>
        <v>32.799999999999997</v>
      </c>
      <c r="G502" s="127">
        <v>0.1</v>
      </c>
      <c r="H502" s="33">
        <f>F502*(1+G502)</f>
        <v>36.08</v>
      </c>
      <c r="I502" s="34" t="s">
        <v>15</v>
      </c>
      <c r="J502" s="204">
        <f>J$148</f>
        <v>0</v>
      </c>
      <c r="K502" s="205">
        <f>J502*H502</f>
        <v>0</v>
      </c>
      <c r="L502" s="206"/>
    </row>
    <row r="503" spans="1:12" s="187" customFormat="1" x14ac:dyDescent="0.2">
      <c r="A503" s="111" t="str">
        <f>IF(F503&lt;&gt;"",1+MAX($A$7:A502),"")</f>
        <v/>
      </c>
      <c r="B503" s="2"/>
      <c r="C503" s="2"/>
      <c r="D503" s="214"/>
      <c r="E503" s="213"/>
      <c r="F503" s="17"/>
      <c r="G503" s="127"/>
      <c r="H503" s="33"/>
      <c r="I503" s="34"/>
      <c r="J503" s="204"/>
      <c r="K503" s="205"/>
      <c r="L503" s="206"/>
    </row>
    <row r="504" spans="1:12" s="187" customFormat="1" x14ac:dyDescent="0.2">
      <c r="A504" s="111" t="str">
        <f>IF(F504&lt;&gt;"",1+MAX($A$7:A503),"")</f>
        <v/>
      </c>
      <c r="B504" s="207"/>
      <c r="C504" s="207"/>
      <c r="D504" s="201"/>
      <c r="E504" s="208" t="s">
        <v>115</v>
      </c>
      <c r="F504" s="203"/>
      <c r="G504" s="25"/>
      <c r="H504" s="209"/>
      <c r="I504" s="5"/>
      <c r="J504" s="210"/>
      <c r="K504" s="211"/>
      <c r="L504" s="206"/>
    </row>
    <row r="505" spans="1:12" s="187" customFormat="1" ht="31.5" x14ac:dyDescent="0.2">
      <c r="A505" s="111">
        <f>IF(F505&lt;&gt;"",1+MAX($A$7:A504),"")</f>
        <v>183</v>
      </c>
      <c r="B505" s="2" t="s">
        <v>112</v>
      </c>
      <c r="C505" s="2" t="s">
        <v>111</v>
      </c>
      <c r="D505" s="212"/>
      <c r="E505" s="213" t="s">
        <v>72</v>
      </c>
      <c r="F505" s="17">
        <f>7.2*9*2*2</f>
        <v>259.2</v>
      </c>
      <c r="G505" s="127">
        <v>0.1</v>
      </c>
      <c r="H505" s="33">
        <f>F505*(1+G505)</f>
        <v>285.12</v>
      </c>
      <c r="I505" s="34" t="s">
        <v>18</v>
      </c>
      <c r="J505" s="204">
        <f>J$143</f>
        <v>0</v>
      </c>
      <c r="K505" s="205">
        <f>J505*H505</f>
        <v>0</v>
      </c>
      <c r="L505" s="206"/>
    </row>
    <row r="506" spans="1:12" s="187" customFormat="1" x14ac:dyDescent="0.2">
      <c r="A506" s="111" t="str">
        <f>IF(F506&lt;&gt;"",1+MAX($A$7:A505),"")</f>
        <v/>
      </c>
      <c r="B506" s="45"/>
      <c r="C506" s="45"/>
      <c r="D506" s="214"/>
      <c r="E506" s="215" t="s">
        <v>48</v>
      </c>
      <c r="F506" s="216"/>
      <c r="G506" s="217"/>
      <c r="H506" s="33">
        <f>ROUNDUP((H505)/32,0)</f>
        <v>9</v>
      </c>
      <c r="I506" s="34" t="s">
        <v>49</v>
      </c>
      <c r="J506" s="204"/>
      <c r="K506" s="205"/>
      <c r="L506" s="206"/>
    </row>
    <row r="507" spans="1:12" s="187" customFormat="1" x14ac:dyDescent="0.2">
      <c r="A507" s="111" t="str">
        <f>IF(F507&lt;&gt;"",1+MAX($A$7:A506),"")</f>
        <v/>
      </c>
      <c r="B507" s="45"/>
      <c r="C507" s="45"/>
      <c r="D507" s="214"/>
      <c r="E507" s="215" t="s">
        <v>50</v>
      </c>
      <c r="F507" s="216"/>
      <c r="G507" s="217"/>
      <c r="H507" s="33">
        <f>ROUNDUP(H506*24/500,0)</f>
        <v>1</v>
      </c>
      <c r="I507" s="34" t="s">
        <v>51</v>
      </c>
      <c r="J507" s="204"/>
      <c r="K507" s="205"/>
      <c r="L507" s="206"/>
    </row>
    <row r="508" spans="1:12" s="187" customFormat="1" x14ac:dyDescent="0.2">
      <c r="A508" s="111" t="str">
        <f>IF(F508&lt;&gt;"",1+MAX($A$7:A507),"")</f>
        <v/>
      </c>
      <c r="B508" s="45"/>
      <c r="C508" s="45"/>
      <c r="D508" s="214"/>
      <c r="E508" s="215" t="s">
        <v>52</v>
      </c>
      <c r="F508" s="216"/>
      <c r="G508" s="217"/>
      <c r="H508" s="218">
        <f>ROUNDUP((H505)/200,0)</f>
        <v>2</v>
      </c>
      <c r="I508" s="34" t="s">
        <v>53</v>
      </c>
      <c r="J508" s="204"/>
      <c r="K508" s="205"/>
      <c r="L508" s="206"/>
    </row>
    <row r="509" spans="1:12" s="187" customFormat="1" x14ac:dyDescent="0.2">
      <c r="A509" s="111" t="str">
        <f>IF(F509&lt;&gt;"",1+MAX($A$7:A508),"")</f>
        <v/>
      </c>
      <c r="B509" s="45"/>
      <c r="C509" s="45"/>
      <c r="D509" s="214"/>
      <c r="E509" s="215" t="s">
        <v>54</v>
      </c>
      <c r="F509" s="216"/>
      <c r="G509" s="217"/>
      <c r="H509" s="218">
        <f>ROUNDUP((H505)*5.25/1000,0)</f>
        <v>2</v>
      </c>
      <c r="I509" s="34" t="s">
        <v>55</v>
      </c>
      <c r="J509" s="204"/>
      <c r="K509" s="205"/>
      <c r="L509" s="206"/>
    </row>
    <row r="510" spans="1:12" s="187" customFormat="1" x14ac:dyDescent="0.2">
      <c r="A510" s="111">
        <f>IF(F510&lt;&gt;"",1+MAX($A$7:A509),"")</f>
        <v>184</v>
      </c>
      <c r="B510" s="2" t="s">
        <v>112</v>
      </c>
      <c r="C510" s="2" t="s">
        <v>111</v>
      </c>
      <c r="D510" s="214"/>
      <c r="E510" s="213" t="s">
        <v>109</v>
      </c>
      <c r="F510" s="17">
        <f>7.2*4</f>
        <v>28.8</v>
      </c>
      <c r="G510" s="127">
        <v>0.1</v>
      </c>
      <c r="H510" s="33">
        <f>F510*(1+G510)</f>
        <v>31.680000000000003</v>
      </c>
      <c r="I510" s="34" t="s">
        <v>15</v>
      </c>
      <c r="J510" s="204">
        <f>J$148</f>
        <v>0</v>
      </c>
      <c r="K510" s="205">
        <f>J510*H510</f>
        <v>0</v>
      </c>
      <c r="L510" s="206"/>
    </row>
    <row r="511" spans="1:12" s="187" customFormat="1" x14ac:dyDescent="0.2">
      <c r="A511" s="111">
        <f>IF(F511&lt;&gt;"",1+MAX($A$7:A510),"")</f>
        <v>185</v>
      </c>
      <c r="B511" s="2" t="s">
        <v>112</v>
      </c>
      <c r="C511" s="2" t="s">
        <v>111</v>
      </c>
      <c r="D511" s="212"/>
      <c r="E511" s="213" t="s">
        <v>116</v>
      </c>
      <c r="F511" s="17">
        <f>7.2*9</f>
        <v>64.8</v>
      </c>
      <c r="G511" s="127">
        <v>0.1</v>
      </c>
      <c r="H511" s="33">
        <f>F511*(1+G511)</f>
        <v>71.28</v>
      </c>
      <c r="I511" s="34" t="s">
        <v>18</v>
      </c>
      <c r="J511" s="204">
        <f>J$251</f>
        <v>0</v>
      </c>
      <c r="K511" s="205">
        <f>J511*H511</f>
        <v>0</v>
      </c>
      <c r="L511" s="206"/>
    </row>
    <row r="512" spans="1:12" s="187" customFormat="1" x14ac:dyDescent="0.2">
      <c r="A512" s="111" t="str">
        <f>IF(F512&lt;&gt;"",1+MAX($A$7:A511),"")</f>
        <v/>
      </c>
      <c r="B512" s="2"/>
      <c r="C512" s="2"/>
      <c r="D512" s="214"/>
      <c r="E512" s="213"/>
      <c r="F512" s="17"/>
      <c r="G512" s="127"/>
      <c r="H512" s="33"/>
      <c r="I512" s="34"/>
      <c r="J512" s="204"/>
      <c r="K512" s="205"/>
      <c r="L512" s="206"/>
    </row>
    <row r="513" spans="1:12" s="187" customFormat="1" x14ac:dyDescent="0.2">
      <c r="A513" s="111" t="str">
        <f>IF(F513&lt;&gt;"",1+MAX($A$7:A512),"")</f>
        <v/>
      </c>
      <c r="B513" s="207"/>
      <c r="C513" s="207"/>
      <c r="D513" s="201"/>
      <c r="E513" s="208" t="s">
        <v>117</v>
      </c>
      <c r="F513" s="203"/>
      <c r="G513" s="25"/>
      <c r="H513" s="209"/>
      <c r="I513" s="5"/>
      <c r="J513" s="210"/>
      <c r="K513" s="211"/>
      <c r="L513" s="206"/>
    </row>
    <row r="514" spans="1:12" s="187" customFormat="1" ht="31.5" x14ac:dyDescent="0.2">
      <c r="A514" s="111">
        <f>IF(F514&lt;&gt;"",1+MAX($A$7:A513),"")</f>
        <v>186</v>
      </c>
      <c r="B514" s="2" t="s">
        <v>112</v>
      </c>
      <c r="C514" s="2" t="s">
        <v>111</v>
      </c>
      <c r="D514" s="212"/>
      <c r="E514" s="213" t="s">
        <v>72</v>
      </c>
      <c r="F514" s="17">
        <f>51.5*9*2*2</f>
        <v>1854</v>
      </c>
      <c r="G514" s="127">
        <v>0.1</v>
      </c>
      <c r="H514" s="33">
        <f>F514*(1+G514)</f>
        <v>2039.4</v>
      </c>
      <c r="I514" s="34" t="s">
        <v>18</v>
      </c>
      <c r="J514" s="204">
        <f>J$143</f>
        <v>0</v>
      </c>
      <c r="K514" s="205">
        <f>J514*H514</f>
        <v>0</v>
      </c>
      <c r="L514" s="206"/>
    </row>
    <row r="515" spans="1:12" s="187" customFormat="1" x14ac:dyDescent="0.2">
      <c r="A515" s="111" t="str">
        <f>IF(F515&lt;&gt;"",1+MAX($A$7:A514),"")</f>
        <v/>
      </c>
      <c r="B515" s="45"/>
      <c r="C515" s="45"/>
      <c r="D515" s="214"/>
      <c r="E515" s="215" t="s">
        <v>48</v>
      </c>
      <c r="F515" s="216"/>
      <c r="G515" s="217"/>
      <c r="H515" s="33">
        <f>ROUNDUP((H514)/32,0)</f>
        <v>64</v>
      </c>
      <c r="I515" s="34" t="s">
        <v>49</v>
      </c>
      <c r="J515" s="204"/>
      <c r="K515" s="205"/>
      <c r="L515" s="206"/>
    </row>
    <row r="516" spans="1:12" s="187" customFormat="1" x14ac:dyDescent="0.2">
      <c r="A516" s="111" t="str">
        <f>IF(F516&lt;&gt;"",1+MAX($A$7:A515),"")</f>
        <v/>
      </c>
      <c r="B516" s="45"/>
      <c r="C516" s="45"/>
      <c r="D516" s="214"/>
      <c r="E516" s="215" t="s">
        <v>50</v>
      </c>
      <c r="F516" s="216"/>
      <c r="G516" s="217"/>
      <c r="H516" s="33">
        <f>ROUNDUP(H515*24/500,0)</f>
        <v>4</v>
      </c>
      <c r="I516" s="34" t="s">
        <v>51</v>
      </c>
      <c r="J516" s="204"/>
      <c r="K516" s="205"/>
      <c r="L516" s="206"/>
    </row>
    <row r="517" spans="1:12" s="187" customFormat="1" x14ac:dyDescent="0.2">
      <c r="A517" s="111" t="str">
        <f>IF(F517&lt;&gt;"",1+MAX($A$7:A516),"")</f>
        <v/>
      </c>
      <c r="B517" s="45"/>
      <c r="C517" s="45"/>
      <c r="D517" s="214"/>
      <c r="E517" s="215" t="s">
        <v>52</v>
      </c>
      <c r="F517" s="216"/>
      <c r="G517" s="217"/>
      <c r="H517" s="218">
        <f>ROUNDUP((H514)/200,0)</f>
        <v>11</v>
      </c>
      <c r="I517" s="34" t="s">
        <v>53</v>
      </c>
      <c r="J517" s="204"/>
      <c r="K517" s="205"/>
      <c r="L517" s="206"/>
    </row>
    <row r="518" spans="1:12" s="187" customFormat="1" x14ac:dyDescent="0.2">
      <c r="A518" s="111" t="str">
        <f>IF(F518&lt;&gt;"",1+MAX($A$7:A517),"")</f>
        <v/>
      </c>
      <c r="B518" s="45"/>
      <c r="C518" s="45"/>
      <c r="D518" s="214"/>
      <c r="E518" s="215" t="s">
        <v>54</v>
      </c>
      <c r="F518" s="216"/>
      <c r="G518" s="217"/>
      <c r="H518" s="218">
        <f>ROUNDUP((H514)*5.25/1000,0)</f>
        <v>11</v>
      </c>
      <c r="I518" s="34" t="s">
        <v>55</v>
      </c>
      <c r="J518" s="204"/>
      <c r="K518" s="205"/>
      <c r="L518" s="206"/>
    </row>
    <row r="519" spans="1:12" s="187" customFormat="1" x14ac:dyDescent="0.2">
      <c r="A519" s="111">
        <f>IF(F519&lt;&gt;"",1+MAX($A$7:A518),"")</f>
        <v>187</v>
      </c>
      <c r="B519" s="2" t="s">
        <v>112</v>
      </c>
      <c r="C519" s="2" t="s">
        <v>111</v>
      </c>
      <c r="D519" s="214"/>
      <c r="E519" s="213" t="s">
        <v>109</v>
      </c>
      <c r="F519" s="17">
        <f>51.5*4</f>
        <v>206</v>
      </c>
      <c r="G519" s="127">
        <v>0.1</v>
      </c>
      <c r="H519" s="33">
        <f>F519*(1+G519)</f>
        <v>226.60000000000002</v>
      </c>
      <c r="I519" s="34" t="s">
        <v>15</v>
      </c>
      <c r="J519" s="204">
        <f>J$148</f>
        <v>0</v>
      </c>
      <c r="K519" s="205">
        <f>J519*H519</f>
        <v>0</v>
      </c>
      <c r="L519" s="206"/>
    </row>
    <row r="520" spans="1:12" s="187" customFormat="1" x14ac:dyDescent="0.2">
      <c r="A520" s="111">
        <f>IF(F520&lt;&gt;"",1+MAX($A$7:A519),"")</f>
        <v>188</v>
      </c>
      <c r="B520" s="2" t="s">
        <v>112</v>
      </c>
      <c r="C520" s="2" t="s">
        <v>111</v>
      </c>
      <c r="D520" s="212"/>
      <c r="E520" s="213" t="s">
        <v>118</v>
      </c>
      <c r="F520" s="17">
        <f>51.5*9</f>
        <v>463.5</v>
      </c>
      <c r="G520" s="127">
        <v>0.1</v>
      </c>
      <c r="H520" s="33">
        <f>F520*(1+G520)</f>
        <v>509.85</v>
      </c>
      <c r="I520" s="34" t="s">
        <v>18</v>
      </c>
      <c r="J520" s="204">
        <f>J$187</f>
        <v>0</v>
      </c>
      <c r="K520" s="205">
        <f>J520*H520</f>
        <v>0</v>
      </c>
      <c r="L520" s="206"/>
    </row>
    <row r="521" spans="1:12" s="187" customFormat="1" x14ac:dyDescent="0.2">
      <c r="A521" s="111" t="str">
        <f>IF(F521&lt;&gt;"",1+MAX($A$7:A520),"")</f>
        <v/>
      </c>
      <c r="B521" s="2"/>
      <c r="C521" s="2"/>
      <c r="D521" s="214"/>
      <c r="E521" s="213"/>
      <c r="F521" s="17"/>
      <c r="G521" s="127"/>
      <c r="H521" s="33"/>
      <c r="I521" s="34"/>
      <c r="J521" s="204"/>
      <c r="K521" s="205"/>
      <c r="L521" s="206"/>
    </row>
    <row r="522" spans="1:12" s="187" customFormat="1" x14ac:dyDescent="0.2">
      <c r="A522" s="111" t="str">
        <f>IF(F522&lt;&gt;"",1+MAX($A$7:A521),"")</f>
        <v/>
      </c>
      <c r="B522" s="207"/>
      <c r="C522" s="207"/>
      <c r="D522" s="201"/>
      <c r="E522" s="208" t="s">
        <v>120</v>
      </c>
      <c r="F522" s="203"/>
      <c r="G522" s="25"/>
      <c r="H522" s="209"/>
      <c r="I522" s="5"/>
      <c r="J522" s="210"/>
      <c r="K522" s="211"/>
      <c r="L522" s="206"/>
    </row>
    <row r="523" spans="1:12" s="187" customFormat="1" ht="31.5" x14ac:dyDescent="0.2">
      <c r="A523" s="111">
        <f>IF(F523&lt;&gt;"",1+MAX($A$7:A522),"")</f>
        <v>189</v>
      </c>
      <c r="B523" s="2" t="s">
        <v>112</v>
      </c>
      <c r="C523" s="2" t="s">
        <v>111</v>
      </c>
      <c r="D523" s="212"/>
      <c r="E523" s="213" t="s">
        <v>72</v>
      </c>
      <c r="F523" s="17">
        <f>11.3*9*3</f>
        <v>305.10000000000002</v>
      </c>
      <c r="G523" s="127">
        <v>0.1</v>
      </c>
      <c r="H523" s="33">
        <f>F523*(1+G523)</f>
        <v>335.61000000000007</v>
      </c>
      <c r="I523" s="34" t="s">
        <v>18</v>
      </c>
      <c r="J523" s="204">
        <f>J$143</f>
        <v>0</v>
      </c>
      <c r="K523" s="205">
        <f>J523*H523</f>
        <v>0</v>
      </c>
      <c r="L523" s="206"/>
    </row>
    <row r="524" spans="1:12" s="187" customFormat="1" x14ac:dyDescent="0.2">
      <c r="A524" s="111" t="str">
        <f>IF(F524&lt;&gt;"",1+MAX($A$7:A523),"")</f>
        <v/>
      </c>
      <c r="B524" s="45"/>
      <c r="C524" s="45"/>
      <c r="D524" s="214"/>
      <c r="E524" s="215" t="s">
        <v>48</v>
      </c>
      <c r="F524" s="216"/>
      <c r="G524" s="217"/>
      <c r="H524" s="33">
        <f>ROUNDUP((H523)/32,0)</f>
        <v>11</v>
      </c>
      <c r="I524" s="34" t="s">
        <v>49</v>
      </c>
      <c r="J524" s="204"/>
      <c r="K524" s="205"/>
      <c r="L524" s="206"/>
    </row>
    <row r="525" spans="1:12" s="187" customFormat="1" x14ac:dyDescent="0.2">
      <c r="A525" s="111" t="str">
        <f>IF(F525&lt;&gt;"",1+MAX($A$7:A524),"")</f>
        <v/>
      </c>
      <c r="B525" s="45"/>
      <c r="C525" s="45"/>
      <c r="D525" s="214"/>
      <c r="E525" s="215" t="s">
        <v>50</v>
      </c>
      <c r="F525" s="216"/>
      <c r="G525" s="217"/>
      <c r="H525" s="33">
        <f>ROUNDUP(H524*24/500,0)</f>
        <v>1</v>
      </c>
      <c r="I525" s="34" t="s">
        <v>51</v>
      </c>
      <c r="J525" s="204"/>
      <c r="K525" s="205"/>
      <c r="L525" s="206"/>
    </row>
    <row r="526" spans="1:12" s="187" customFormat="1" x14ac:dyDescent="0.2">
      <c r="A526" s="111" t="str">
        <f>IF(F526&lt;&gt;"",1+MAX($A$7:A525),"")</f>
        <v/>
      </c>
      <c r="B526" s="45"/>
      <c r="C526" s="45"/>
      <c r="D526" s="214"/>
      <c r="E526" s="215" t="s">
        <v>52</v>
      </c>
      <c r="F526" s="216"/>
      <c r="G526" s="217"/>
      <c r="H526" s="218">
        <f>ROUNDUP((H523)/200,0)</f>
        <v>2</v>
      </c>
      <c r="I526" s="34" t="s">
        <v>53</v>
      </c>
      <c r="J526" s="204"/>
      <c r="K526" s="205"/>
      <c r="L526" s="206"/>
    </row>
    <row r="527" spans="1:12" s="187" customFormat="1" x14ac:dyDescent="0.2">
      <c r="A527" s="111" t="str">
        <f>IF(F527&lt;&gt;"",1+MAX($A$7:A526),"")</f>
        <v/>
      </c>
      <c r="B527" s="45"/>
      <c r="C527" s="45"/>
      <c r="D527" s="214"/>
      <c r="E527" s="215" t="s">
        <v>54</v>
      </c>
      <c r="F527" s="216"/>
      <c r="G527" s="217"/>
      <c r="H527" s="218">
        <f>ROUNDUP((H523)*5.25/1000,0)</f>
        <v>2</v>
      </c>
      <c r="I527" s="34" t="s">
        <v>55</v>
      </c>
      <c r="J527" s="204"/>
      <c r="K527" s="205"/>
      <c r="L527" s="206"/>
    </row>
    <row r="528" spans="1:12" s="187" customFormat="1" x14ac:dyDescent="0.2">
      <c r="A528" s="111">
        <f>IF(F528&lt;&gt;"",1+MAX($A$7:A527),"")</f>
        <v>190</v>
      </c>
      <c r="B528" s="2" t="s">
        <v>112</v>
      </c>
      <c r="C528" s="2" t="s">
        <v>111</v>
      </c>
      <c r="D528" s="212"/>
      <c r="E528" s="213" t="s">
        <v>108</v>
      </c>
      <c r="F528" s="17">
        <f>11.3*9</f>
        <v>101.7</v>
      </c>
      <c r="G528" s="127">
        <v>0.1</v>
      </c>
      <c r="H528" s="33">
        <f>F528*(1+G528)</f>
        <v>111.87000000000002</v>
      </c>
      <c r="I528" s="34" t="s">
        <v>18</v>
      </c>
      <c r="J528" s="204">
        <f>J$160</f>
        <v>0</v>
      </c>
      <c r="K528" s="205">
        <f>J528*H528</f>
        <v>0</v>
      </c>
      <c r="L528" s="206"/>
    </row>
    <row r="529" spans="1:12" s="187" customFormat="1" x14ac:dyDescent="0.2">
      <c r="A529" s="111" t="str">
        <f>IF(F529&lt;&gt;"",1+MAX($A$7:A528),"")</f>
        <v/>
      </c>
      <c r="B529" s="45"/>
      <c r="C529" s="45"/>
      <c r="D529" s="214"/>
      <c r="E529" s="215" t="s">
        <v>48</v>
      </c>
      <c r="F529" s="216"/>
      <c r="G529" s="217"/>
      <c r="H529" s="33">
        <f>ROUNDUP((H528)/32,0)</f>
        <v>4</v>
      </c>
      <c r="I529" s="34" t="s">
        <v>49</v>
      </c>
      <c r="J529" s="204"/>
      <c r="K529" s="205"/>
      <c r="L529" s="206"/>
    </row>
    <row r="530" spans="1:12" s="187" customFormat="1" x14ac:dyDescent="0.2">
      <c r="A530" s="111" t="str">
        <f>IF(F530&lt;&gt;"",1+MAX($A$7:A529),"")</f>
        <v/>
      </c>
      <c r="B530" s="45"/>
      <c r="C530" s="45"/>
      <c r="D530" s="214"/>
      <c r="E530" s="215" t="s">
        <v>50</v>
      </c>
      <c r="F530" s="216"/>
      <c r="G530" s="217"/>
      <c r="H530" s="33">
        <f>ROUNDUP(H529*24/500,0)</f>
        <v>1</v>
      </c>
      <c r="I530" s="34" t="s">
        <v>51</v>
      </c>
      <c r="J530" s="204"/>
      <c r="K530" s="205"/>
      <c r="L530" s="206"/>
    </row>
    <row r="531" spans="1:12" s="187" customFormat="1" x14ac:dyDescent="0.2">
      <c r="A531" s="111" t="str">
        <f>IF(F531&lt;&gt;"",1+MAX($A$7:A530),"")</f>
        <v/>
      </c>
      <c r="B531" s="45"/>
      <c r="C531" s="45"/>
      <c r="D531" s="214"/>
      <c r="E531" s="215" t="s">
        <v>52</v>
      </c>
      <c r="F531" s="216"/>
      <c r="G531" s="217"/>
      <c r="H531" s="218">
        <f>ROUNDUP((H528)/200,0)</f>
        <v>1</v>
      </c>
      <c r="I531" s="34" t="s">
        <v>53</v>
      </c>
      <c r="J531" s="204"/>
      <c r="K531" s="205"/>
      <c r="L531" s="206"/>
    </row>
    <row r="532" spans="1:12" s="187" customFormat="1" x14ac:dyDescent="0.2">
      <c r="A532" s="111" t="str">
        <f>IF(F532&lt;&gt;"",1+MAX($A$7:A531),"")</f>
        <v/>
      </c>
      <c r="B532" s="45"/>
      <c r="C532" s="45"/>
      <c r="D532" s="214"/>
      <c r="E532" s="215" t="s">
        <v>54</v>
      </c>
      <c r="F532" s="216"/>
      <c r="G532" s="217"/>
      <c r="H532" s="218">
        <f>ROUNDUP((H528)*5.25/1000,0)</f>
        <v>1</v>
      </c>
      <c r="I532" s="34" t="s">
        <v>55</v>
      </c>
      <c r="J532" s="204"/>
      <c r="K532" s="205"/>
      <c r="L532" s="206"/>
    </row>
    <row r="533" spans="1:12" s="187" customFormat="1" x14ac:dyDescent="0.2">
      <c r="A533" s="111">
        <f>IF(F533&lt;&gt;"",1+MAX($A$7:A532),"")</f>
        <v>191</v>
      </c>
      <c r="B533" s="2" t="s">
        <v>112</v>
      </c>
      <c r="C533" s="2" t="s">
        <v>111</v>
      </c>
      <c r="D533" s="214"/>
      <c r="E533" s="213" t="s">
        <v>109</v>
      </c>
      <c r="F533" s="17">
        <f>11.3*4</f>
        <v>45.2</v>
      </c>
      <c r="G533" s="127">
        <v>0.1</v>
      </c>
      <c r="H533" s="33">
        <f>F533*(1+G533)</f>
        <v>49.720000000000006</v>
      </c>
      <c r="I533" s="34" t="s">
        <v>15</v>
      </c>
      <c r="J533" s="204">
        <f>J$148</f>
        <v>0</v>
      </c>
      <c r="K533" s="205">
        <f>J533*H533</f>
        <v>0</v>
      </c>
      <c r="L533" s="206"/>
    </row>
    <row r="534" spans="1:12" s="187" customFormat="1" x14ac:dyDescent="0.2">
      <c r="A534" s="111">
        <f>IF(F534&lt;&gt;"",1+MAX($A$7:A533),"")</f>
        <v>192</v>
      </c>
      <c r="B534" s="2" t="s">
        <v>112</v>
      </c>
      <c r="C534" s="2" t="s">
        <v>111</v>
      </c>
      <c r="D534" s="212"/>
      <c r="E534" s="213" t="s">
        <v>119</v>
      </c>
      <c r="F534" s="17">
        <f>11.3*9</f>
        <v>101.7</v>
      </c>
      <c r="G534" s="127">
        <v>0.1</v>
      </c>
      <c r="H534" s="33">
        <f>F534*(1+G534)</f>
        <v>111.87000000000002</v>
      </c>
      <c r="I534" s="34" t="s">
        <v>18</v>
      </c>
      <c r="J534" s="204">
        <f>J$226</f>
        <v>0</v>
      </c>
      <c r="K534" s="205">
        <f>J534*H534</f>
        <v>0</v>
      </c>
      <c r="L534" s="206"/>
    </row>
    <row r="535" spans="1:12" s="187" customFormat="1" x14ac:dyDescent="0.2">
      <c r="A535" s="111" t="str">
        <f>IF(F535&lt;&gt;"",1+MAX($A$7:A534),"")</f>
        <v/>
      </c>
      <c r="B535" s="2"/>
      <c r="C535" s="2"/>
      <c r="D535" s="214"/>
      <c r="E535" s="213"/>
      <c r="F535" s="17"/>
      <c r="G535" s="127"/>
      <c r="H535" s="33"/>
      <c r="I535" s="34"/>
      <c r="J535" s="204"/>
      <c r="K535" s="205"/>
      <c r="L535" s="206"/>
    </row>
    <row r="536" spans="1:12" s="187" customFormat="1" x14ac:dyDescent="0.2">
      <c r="A536" s="111" t="str">
        <f>IF(F536&lt;&gt;"",1+MAX($A$7:A535),"")</f>
        <v/>
      </c>
      <c r="B536" s="207"/>
      <c r="C536" s="207"/>
      <c r="D536" s="201"/>
      <c r="E536" s="208" t="s">
        <v>121</v>
      </c>
      <c r="F536" s="203"/>
      <c r="G536" s="25"/>
      <c r="H536" s="209"/>
      <c r="I536" s="5"/>
      <c r="J536" s="210"/>
      <c r="K536" s="211"/>
      <c r="L536" s="206"/>
    </row>
    <row r="537" spans="1:12" s="187" customFormat="1" x14ac:dyDescent="0.2">
      <c r="A537" s="111">
        <f>IF(F537&lt;&gt;"",1+MAX($A$7:A536),"")</f>
        <v>193</v>
      </c>
      <c r="B537" s="2" t="s">
        <v>112</v>
      </c>
      <c r="C537" s="2" t="s">
        <v>111</v>
      </c>
      <c r="D537" s="212"/>
      <c r="E537" s="213" t="s">
        <v>140</v>
      </c>
      <c r="F537" s="17">
        <f>10.1*9*2*2</f>
        <v>363.59999999999997</v>
      </c>
      <c r="G537" s="127">
        <v>0.1</v>
      </c>
      <c r="H537" s="33">
        <f>F537*(1+G537)</f>
        <v>399.96</v>
      </c>
      <c r="I537" s="34" t="s">
        <v>18</v>
      </c>
      <c r="J537" s="204">
        <f>J$143</f>
        <v>0</v>
      </c>
      <c r="K537" s="205">
        <f>J537*H537</f>
        <v>0</v>
      </c>
      <c r="L537" s="206"/>
    </row>
    <row r="538" spans="1:12" s="187" customFormat="1" x14ac:dyDescent="0.2">
      <c r="A538" s="111" t="str">
        <f>IF(F538&lt;&gt;"",1+MAX($A$7:A537),"")</f>
        <v/>
      </c>
      <c r="B538" s="45"/>
      <c r="C538" s="45"/>
      <c r="D538" s="214"/>
      <c r="E538" s="215" t="s">
        <v>48</v>
      </c>
      <c r="F538" s="216"/>
      <c r="G538" s="217"/>
      <c r="H538" s="33">
        <f>ROUNDUP((H537)/32,0)</f>
        <v>13</v>
      </c>
      <c r="I538" s="34" t="s">
        <v>49</v>
      </c>
      <c r="J538" s="204"/>
      <c r="K538" s="205"/>
      <c r="L538" s="206"/>
    </row>
    <row r="539" spans="1:12" s="187" customFormat="1" x14ac:dyDescent="0.2">
      <c r="A539" s="111" t="str">
        <f>IF(F539&lt;&gt;"",1+MAX($A$7:A538),"")</f>
        <v/>
      </c>
      <c r="B539" s="45"/>
      <c r="C539" s="45"/>
      <c r="D539" s="214"/>
      <c r="E539" s="215" t="s">
        <v>50</v>
      </c>
      <c r="F539" s="216"/>
      <c r="G539" s="217"/>
      <c r="H539" s="33">
        <f>ROUNDUP(H538*24/500,0)</f>
        <v>1</v>
      </c>
      <c r="I539" s="34" t="s">
        <v>51</v>
      </c>
      <c r="J539" s="204"/>
      <c r="K539" s="205"/>
      <c r="L539" s="206"/>
    </row>
    <row r="540" spans="1:12" s="187" customFormat="1" x14ac:dyDescent="0.2">
      <c r="A540" s="111" t="str">
        <f>IF(F540&lt;&gt;"",1+MAX($A$7:A539),"")</f>
        <v/>
      </c>
      <c r="B540" s="45"/>
      <c r="C540" s="45"/>
      <c r="D540" s="214"/>
      <c r="E540" s="215" t="s">
        <v>52</v>
      </c>
      <c r="F540" s="216"/>
      <c r="G540" s="217"/>
      <c r="H540" s="218">
        <f>ROUNDUP((H537)/200,0)</f>
        <v>2</v>
      </c>
      <c r="I540" s="34" t="s">
        <v>53</v>
      </c>
      <c r="J540" s="204"/>
      <c r="K540" s="205"/>
      <c r="L540" s="206"/>
    </row>
    <row r="541" spans="1:12" s="187" customFormat="1" x14ac:dyDescent="0.2">
      <c r="A541" s="111" t="str">
        <f>IF(F541&lt;&gt;"",1+MAX($A$7:A540),"")</f>
        <v/>
      </c>
      <c r="B541" s="45"/>
      <c r="C541" s="45"/>
      <c r="D541" s="214"/>
      <c r="E541" s="215" t="s">
        <v>54</v>
      </c>
      <c r="F541" s="216"/>
      <c r="G541" s="217"/>
      <c r="H541" s="218">
        <f>ROUNDUP((H537)*5.25/1000,0)</f>
        <v>3</v>
      </c>
      <c r="I541" s="34" t="s">
        <v>55</v>
      </c>
      <c r="J541" s="204"/>
      <c r="K541" s="205"/>
      <c r="L541" s="206"/>
    </row>
    <row r="542" spans="1:12" s="187" customFormat="1" x14ac:dyDescent="0.2">
      <c r="A542" s="111">
        <f>IF(F542&lt;&gt;"",1+MAX($A$7:A541),"")</f>
        <v>194</v>
      </c>
      <c r="B542" s="2" t="s">
        <v>112</v>
      </c>
      <c r="C542" s="2" t="s">
        <v>111</v>
      </c>
      <c r="D542" s="214"/>
      <c r="E542" s="213" t="s">
        <v>109</v>
      </c>
      <c r="F542" s="17">
        <f>10.1*4</f>
        <v>40.4</v>
      </c>
      <c r="G542" s="127">
        <v>0.1</v>
      </c>
      <c r="H542" s="33">
        <f>F542*(1+G542)</f>
        <v>44.440000000000005</v>
      </c>
      <c r="I542" s="34" t="s">
        <v>15</v>
      </c>
      <c r="J542" s="204">
        <f>J$148</f>
        <v>0</v>
      </c>
      <c r="K542" s="205">
        <f>J542*H542</f>
        <v>0</v>
      </c>
      <c r="L542" s="206"/>
    </row>
    <row r="543" spans="1:12" s="187" customFormat="1" x14ac:dyDescent="0.2">
      <c r="A543" s="111">
        <f>IF(F543&lt;&gt;"",1+MAX($A$7:A542),"")</f>
        <v>195</v>
      </c>
      <c r="B543" s="2" t="s">
        <v>112</v>
      </c>
      <c r="C543" s="2" t="s">
        <v>111</v>
      </c>
      <c r="D543" s="212"/>
      <c r="E543" s="213" t="s">
        <v>484</v>
      </c>
      <c r="F543" s="17">
        <f>10.1*9</f>
        <v>90.899999999999991</v>
      </c>
      <c r="G543" s="127">
        <v>0.1</v>
      </c>
      <c r="H543" s="33">
        <f>F543*(1+G543)</f>
        <v>99.99</v>
      </c>
      <c r="I543" s="34" t="s">
        <v>18</v>
      </c>
      <c r="J543" s="204">
        <f>J$276</f>
        <v>0</v>
      </c>
      <c r="K543" s="205">
        <f>J543*H543</f>
        <v>0</v>
      </c>
      <c r="L543" s="206"/>
    </row>
    <row r="544" spans="1:12" s="187" customFormat="1" x14ac:dyDescent="0.2">
      <c r="A544" s="111">
        <f>IF(F544&lt;&gt;"",1+MAX($A$7:A543),"")</f>
        <v>196</v>
      </c>
      <c r="B544" s="2" t="s">
        <v>112</v>
      </c>
      <c r="C544" s="2" t="s">
        <v>111</v>
      </c>
      <c r="D544" s="212"/>
      <c r="E544" s="213" t="s">
        <v>141</v>
      </c>
      <c r="F544" s="17">
        <f>10.1*9</f>
        <v>90.899999999999991</v>
      </c>
      <c r="G544" s="127">
        <v>0.1</v>
      </c>
      <c r="H544" s="33">
        <f>F544*(1+G544)</f>
        <v>99.99</v>
      </c>
      <c r="I544" s="34" t="s">
        <v>18</v>
      </c>
      <c r="J544" s="204">
        <f>J$442</f>
        <v>0</v>
      </c>
      <c r="K544" s="205">
        <f>J544*H544</f>
        <v>0</v>
      </c>
      <c r="L544" s="206"/>
    </row>
    <row r="545" spans="1:12" s="187" customFormat="1" x14ac:dyDescent="0.2">
      <c r="A545" s="111" t="str">
        <f>IF(F545&lt;&gt;"",1+MAX($A$7:A544),"")</f>
        <v/>
      </c>
      <c r="B545" s="2"/>
      <c r="C545" s="2"/>
      <c r="D545" s="214"/>
      <c r="E545" s="213"/>
      <c r="F545" s="17"/>
      <c r="G545" s="127"/>
      <c r="H545" s="33"/>
      <c r="I545" s="34"/>
      <c r="J545" s="204"/>
      <c r="K545" s="205"/>
      <c r="L545" s="206"/>
    </row>
    <row r="546" spans="1:12" s="187" customFormat="1" x14ac:dyDescent="0.2">
      <c r="A546" s="111" t="str">
        <f>IF(F546&lt;&gt;"",1+MAX($A$7:A545),"")</f>
        <v/>
      </c>
      <c r="B546" s="207"/>
      <c r="C546" s="207"/>
      <c r="D546" s="201"/>
      <c r="E546" s="208" t="s">
        <v>199</v>
      </c>
      <c r="F546" s="203"/>
      <c r="G546" s="25"/>
      <c r="H546" s="209"/>
      <c r="I546" s="5"/>
      <c r="J546" s="210"/>
      <c r="K546" s="211"/>
      <c r="L546" s="206"/>
    </row>
    <row r="547" spans="1:12" s="187" customFormat="1" x14ac:dyDescent="0.2">
      <c r="A547" s="111">
        <f>IF(F547&lt;&gt;"",1+MAX($A$7:A546),"")</f>
        <v>197</v>
      </c>
      <c r="B547" s="2" t="s">
        <v>112</v>
      </c>
      <c r="C547" s="2" t="s">
        <v>111</v>
      </c>
      <c r="D547" s="212"/>
      <c r="E547" s="213" t="s">
        <v>107</v>
      </c>
      <c r="F547" s="17">
        <f>302.1*9*2+106*9+9.8*9*2</f>
        <v>6568.2</v>
      </c>
      <c r="G547" s="127">
        <v>0.1</v>
      </c>
      <c r="H547" s="33">
        <f>F547*(1+G547)</f>
        <v>7225.02</v>
      </c>
      <c r="I547" s="34" t="s">
        <v>18</v>
      </c>
      <c r="J547" s="204">
        <f>J$143</f>
        <v>0</v>
      </c>
      <c r="K547" s="205">
        <f>J547*H547</f>
        <v>0</v>
      </c>
      <c r="L547" s="206"/>
    </row>
    <row r="548" spans="1:12" s="187" customFormat="1" x14ac:dyDescent="0.2">
      <c r="A548" s="111" t="str">
        <f>IF(F548&lt;&gt;"",1+MAX($A$7:A547),"")</f>
        <v/>
      </c>
      <c r="B548" s="45"/>
      <c r="C548" s="45"/>
      <c r="D548" s="214"/>
      <c r="E548" s="215" t="s">
        <v>48</v>
      </c>
      <c r="F548" s="216"/>
      <c r="G548" s="217"/>
      <c r="H548" s="33">
        <f>ROUNDUP((H547)/32,0)</f>
        <v>226</v>
      </c>
      <c r="I548" s="34" t="s">
        <v>49</v>
      </c>
      <c r="J548" s="204"/>
      <c r="K548" s="205"/>
      <c r="L548" s="206"/>
    </row>
    <row r="549" spans="1:12" s="187" customFormat="1" x14ac:dyDescent="0.2">
      <c r="A549" s="111" t="str">
        <f>IF(F549&lt;&gt;"",1+MAX($A$7:A548),"")</f>
        <v/>
      </c>
      <c r="B549" s="45"/>
      <c r="C549" s="45"/>
      <c r="D549" s="214"/>
      <c r="E549" s="215" t="s">
        <v>50</v>
      </c>
      <c r="F549" s="216"/>
      <c r="G549" s="217"/>
      <c r="H549" s="33">
        <f>ROUNDUP(H548*24/500,0)</f>
        <v>11</v>
      </c>
      <c r="I549" s="34" t="s">
        <v>51</v>
      </c>
      <c r="J549" s="204"/>
      <c r="K549" s="205"/>
      <c r="L549" s="206"/>
    </row>
    <row r="550" spans="1:12" s="187" customFormat="1" x14ac:dyDescent="0.2">
      <c r="A550" s="111" t="str">
        <f>IF(F550&lt;&gt;"",1+MAX($A$7:A549),"")</f>
        <v/>
      </c>
      <c r="B550" s="45"/>
      <c r="C550" s="45"/>
      <c r="D550" s="214"/>
      <c r="E550" s="215" t="s">
        <v>52</v>
      </c>
      <c r="F550" s="216"/>
      <c r="G550" s="217"/>
      <c r="H550" s="218">
        <f>ROUNDUP((H547)/200,0)</f>
        <v>37</v>
      </c>
      <c r="I550" s="34" t="s">
        <v>53</v>
      </c>
      <c r="J550" s="204"/>
      <c r="K550" s="205"/>
      <c r="L550" s="206"/>
    </row>
    <row r="551" spans="1:12" s="187" customFormat="1" x14ac:dyDescent="0.2">
      <c r="A551" s="111" t="str">
        <f>IF(F551&lt;&gt;"",1+MAX($A$7:A550),"")</f>
        <v/>
      </c>
      <c r="B551" s="45"/>
      <c r="C551" s="45"/>
      <c r="D551" s="214"/>
      <c r="E551" s="215" t="s">
        <v>54</v>
      </c>
      <c r="F551" s="216"/>
      <c r="G551" s="217"/>
      <c r="H551" s="218">
        <f>ROUNDUP((H547)*5.25/1000,0)</f>
        <v>38</v>
      </c>
      <c r="I551" s="34" t="s">
        <v>55</v>
      </c>
      <c r="J551" s="204"/>
      <c r="K551" s="205"/>
      <c r="L551" s="206"/>
    </row>
    <row r="552" spans="1:12" s="187" customFormat="1" x14ac:dyDescent="0.2">
      <c r="A552" s="111">
        <f>IF(F552&lt;&gt;"",1+MAX($A$7:A551),"")</f>
        <v>198</v>
      </c>
      <c r="B552" s="2" t="s">
        <v>112</v>
      </c>
      <c r="C552" s="2" t="s">
        <v>111</v>
      </c>
      <c r="D552" s="212"/>
      <c r="E552" s="213" t="s">
        <v>108</v>
      </c>
      <c r="F552" s="17">
        <f>106*9</f>
        <v>954</v>
      </c>
      <c r="G552" s="127">
        <v>0.1</v>
      </c>
      <c r="H552" s="33">
        <f>F552*(1+G552)</f>
        <v>1049.4000000000001</v>
      </c>
      <c r="I552" s="34" t="s">
        <v>18</v>
      </c>
      <c r="J552" s="204">
        <f>J$160</f>
        <v>0</v>
      </c>
      <c r="K552" s="205">
        <f>J552*H552</f>
        <v>0</v>
      </c>
      <c r="L552" s="206"/>
    </row>
    <row r="553" spans="1:12" s="187" customFormat="1" x14ac:dyDescent="0.2">
      <c r="A553" s="111" t="str">
        <f>IF(F553&lt;&gt;"",1+MAX($A$7:A552),"")</f>
        <v/>
      </c>
      <c r="B553" s="45"/>
      <c r="C553" s="45"/>
      <c r="D553" s="214"/>
      <c r="E553" s="215" t="s">
        <v>48</v>
      </c>
      <c r="F553" s="216"/>
      <c r="G553" s="217"/>
      <c r="H553" s="33">
        <f>ROUNDUP((H552)/32,0)</f>
        <v>33</v>
      </c>
      <c r="I553" s="34" t="s">
        <v>49</v>
      </c>
      <c r="J553" s="204"/>
      <c r="K553" s="205"/>
      <c r="L553" s="206"/>
    </row>
    <row r="554" spans="1:12" s="187" customFormat="1" x14ac:dyDescent="0.2">
      <c r="A554" s="111" t="str">
        <f>IF(F554&lt;&gt;"",1+MAX($A$7:A553),"")</f>
        <v/>
      </c>
      <c r="B554" s="45"/>
      <c r="C554" s="45"/>
      <c r="D554" s="214"/>
      <c r="E554" s="215" t="s">
        <v>50</v>
      </c>
      <c r="F554" s="216"/>
      <c r="G554" s="217"/>
      <c r="H554" s="33">
        <f>ROUNDUP(H553*24/500,0)</f>
        <v>2</v>
      </c>
      <c r="I554" s="34" t="s">
        <v>51</v>
      </c>
      <c r="J554" s="204"/>
      <c r="K554" s="205"/>
      <c r="L554" s="206"/>
    </row>
    <row r="555" spans="1:12" s="187" customFormat="1" x14ac:dyDescent="0.2">
      <c r="A555" s="111" t="str">
        <f>IF(F555&lt;&gt;"",1+MAX($A$7:A554),"")</f>
        <v/>
      </c>
      <c r="B555" s="45"/>
      <c r="C555" s="45"/>
      <c r="D555" s="214"/>
      <c r="E555" s="215" t="s">
        <v>52</v>
      </c>
      <c r="F555" s="216"/>
      <c r="G555" s="217"/>
      <c r="H555" s="218">
        <f>ROUNDUP((H552)/200,0)</f>
        <v>6</v>
      </c>
      <c r="I555" s="34" t="s">
        <v>53</v>
      </c>
      <c r="J555" s="204"/>
      <c r="K555" s="205"/>
      <c r="L555" s="206"/>
    </row>
    <row r="556" spans="1:12" s="187" customFormat="1" x14ac:dyDescent="0.2">
      <c r="A556" s="111" t="str">
        <f>IF(F556&lt;&gt;"",1+MAX($A$7:A555),"")</f>
        <v/>
      </c>
      <c r="B556" s="45"/>
      <c r="C556" s="45"/>
      <c r="D556" s="214"/>
      <c r="E556" s="215" t="s">
        <v>54</v>
      </c>
      <c r="F556" s="216"/>
      <c r="G556" s="217"/>
      <c r="H556" s="218">
        <f>ROUNDUP((H552)*5.25/1000,0)</f>
        <v>6</v>
      </c>
      <c r="I556" s="34" t="s">
        <v>55</v>
      </c>
      <c r="J556" s="204"/>
      <c r="K556" s="205"/>
      <c r="L556" s="206"/>
    </row>
    <row r="557" spans="1:12" s="187" customFormat="1" x14ac:dyDescent="0.2">
      <c r="A557" s="111">
        <f>IF(F557&lt;&gt;"",1+MAX($A$7:A556),"")</f>
        <v>199</v>
      </c>
      <c r="B557" s="2" t="s">
        <v>112</v>
      </c>
      <c r="C557" s="2" t="s">
        <v>111</v>
      </c>
      <c r="D557" s="214"/>
      <c r="E557" s="213" t="s">
        <v>109</v>
      </c>
      <c r="F557" s="17">
        <f>(408.1+9.8)*4</f>
        <v>1671.6000000000001</v>
      </c>
      <c r="G557" s="127">
        <v>0.1</v>
      </c>
      <c r="H557" s="33">
        <f>F557*(1+G557)</f>
        <v>1838.7600000000002</v>
      </c>
      <c r="I557" s="34" t="s">
        <v>15</v>
      </c>
      <c r="J557" s="204">
        <f>J$148</f>
        <v>0</v>
      </c>
      <c r="K557" s="205">
        <f>J557*H557</f>
        <v>0</v>
      </c>
      <c r="L557" s="206"/>
    </row>
    <row r="558" spans="1:12" s="187" customFormat="1" x14ac:dyDescent="0.2">
      <c r="A558" s="111">
        <f>IF(F558&lt;&gt;"",1+MAX($A$7:A557),"")</f>
        <v>200</v>
      </c>
      <c r="B558" s="2" t="s">
        <v>112</v>
      </c>
      <c r="C558" s="2" t="s">
        <v>111</v>
      </c>
      <c r="D558" s="212"/>
      <c r="E558" s="213" t="s">
        <v>118</v>
      </c>
      <c r="F558" s="17">
        <f>(408.1+9.8)*9</f>
        <v>3761.1000000000004</v>
      </c>
      <c r="G558" s="127">
        <v>0.1</v>
      </c>
      <c r="H558" s="33">
        <f>F558*(1+G558)</f>
        <v>4137.2100000000009</v>
      </c>
      <c r="I558" s="34" t="s">
        <v>18</v>
      </c>
      <c r="J558" s="204">
        <f>J$187</f>
        <v>0</v>
      </c>
      <c r="K558" s="205">
        <f>J558*H558</f>
        <v>0</v>
      </c>
      <c r="L558" s="206"/>
    </row>
    <row r="559" spans="1:12" s="187" customFormat="1" x14ac:dyDescent="0.2">
      <c r="A559" s="111">
        <f>IF(F559&lt;&gt;"",1+MAX($A$7:A558),"")</f>
        <v>201</v>
      </c>
      <c r="B559" s="2" t="s">
        <v>112</v>
      </c>
      <c r="C559" s="2" t="s">
        <v>111</v>
      </c>
      <c r="D559" s="212"/>
      <c r="E559" s="213" t="s">
        <v>123</v>
      </c>
      <c r="F559" s="17">
        <f>(408.1+9.8)*9</f>
        <v>3761.1000000000004</v>
      </c>
      <c r="G559" s="127">
        <v>0.1</v>
      </c>
      <c r="H559" s="33">
        <f>F559*(1+G559)</f>
        <v>4137.2100000000009</v>
      </c>
      <c r="I559" s="34" t="s">
        <v>18</v>
      </c>
      <c r="J559" s="204">
        <f>J$202</f>
        <v>0</v>
      </c>
      <c r="K559" s="205">
        <f>J559*H559</f>
        <v>0</v>
      </c>
      <c r="L559" s="206"/>
    </row>
    <row r="560" spans="1:12" s="187" customFormat="1" x14ac:dyDescent="0.2">
      <c r="A560" s="111" t="str">
        <f>IF(F560&lt;&gt;"",1+MAX($A$7:A559),"")</f>
        <v/>
      </c>
      <c r="B560" s="2"/>
      <c r="C560" s="2"/>
      <c r="D560" s="214"/>
      <c r="E560" s="213"/>
      <c r="F560" s="17"/>
      <c r="G560" s="127"/>
      <c r="H560" s="33"/>
      <c r="I560" s="34"/>
      <c r="J560" s="204"/>
      <c r="K560" s="205"/>
      <c r="L560" s="206"/>
    </row>
    <row r="561" spans="1:12" s="187" customFormat="1" x14ac:dyDescent="0.2">
      <c r="A561" s="111" t="str">
        <f>IF(F561&lt;&gt;"",1+MAX($A$7:A560),"")</f>
        <v/>
      </c>
      <c r="B561" s="207"/>
      <c r="C561" s="207"/>
      <c r="D561" s="201"/>
      <c r="E561" s="208" t="s">
        <v>200</v>
      </c>
      <c r="F561" s="203"/>
      <c r="G561" s="25"/>
      <c r="H561" s="209"/>
      <c r="I561" s="5"/>
      <c r="J561" s="210"/>
      <c r="K561" s="211"/>
      <c r="L561" s="206"/>
    </row>
    <row r="562" spans="1:12" s="187" customFormat="1" x14ac:dyDescent="0.2">
      <c r="A562" s="111">
        <f>IF(F562&lt;&gt;"",1+MAX($A$7:A561),"")</f>
        <v>202</v>
      </c>
      <c r="B562" s="2" t="s">
        <v>112</v>
      </c>
      <c r="C562" s="2" t="s">
        <v>111</v>
      </c>
      <c r="D562" s="212"/>
      <c r="E562" s="213" t="s">
        <v>107</v>
      </c>
      <c r="F562" s="17">
        <f>331.6*9*2</f>
        <v>5968.8</v>
      </c>
      <c r="G562" s="127">
        <v>0.1</v>
      </c>
      <c r="H562" s="33">
        <f>F562*(1+G562)</f>
        <v>6565.68</v>
      </c>
      <c r="I562" s="34" t="s">
        <v>18</v>
      </c>
      <c r="J562" s="204">
        <f>J$143</f>
        <v>0</v>
      </c>
      <c r="K562" s="205">
        <f>J562*H562</f>
        <v>0</v>
      </c>
      <c r="L562" s="206"/>
    </row>
    <row r="563" spans="1:12" s="187" customFormat="1" x14ac:dyDescent="0.2">
      <c r="A563" s="111" t="str">
        <f>IF(F563&lt;&gt;"",1+MAX($A$7:A562),"")</f>
        <v/>
      </c>
      <c r="B563" s="45"/>
      <c r="C563" s="45"/>
      <c r="D563" s="214"/>
      <c r="E563" s="215" t="s">
        <v>48</v>
      </c>
      <c r="F563" s="216"/>
      <c r="G563" s="217"/>
      <c r="H563" s="33">
        <f>ROUNDUP((H562)/32,0)</f>
        <v>206</v>
      </c>
      <c r="I563" s="34" t="s">
        <v>49</v>
      </c>
      <c r="J563" s="204"/>
      <c r="K563" s="205"/>
      <c r="L563" s="206"/>
    </row>
    <row r="564" spans="1:12" s="187" customFormat="1" x14ac:dyDescent="0.2">
      <c r="A564" s="111" t="str">
        <f>IF(F564&lt;&gt;"",1+MAX($A$7:A563),"")</f>
        <v/>
      </c>
      <c r="B564" s="45"/>
      <c r="C564" s="45"/>
      <c r="D564" s="214"/>
      <c r="E564" s="215" t="s">
        <v>50</v>
      </c>
      <c r="F564" s="216"/>
      <c r="G564" s="217"/>
      <c r="H564" s="33">
        <f>ROUNDUP(H563*24/500,0)</f>
        <v>10</v>
      </c>
      <c r="I564" s="34" t="s">
        <v>51</v>
      </c>
      <c r="J564" s="204"/>
      <c r="K564" s="205"/>
      <c r="L564" s="206"/>
    </row>
    <row r="565" spans="1:12" s="187" customFormat="1" x14ac:dyDescent="0.2">
      <c r="A565" s="111" t="str">
        <f>IF(F565&lt;&gt;"",1+MAX($A$7:A564),"")</f>
        <v/>
      </c>
      <c r="B565" s="45"/>
      <c r="C565" s="45"/>
      <c r="D565" s="214"/>
      <c r="E565" s="215" t="s">
        <v>52</v>
      </c>
      <c r="F565" s="216"/>
      <c r="G565" s="217"/>
      <c r="H565" s="218">
        <f>ROUNDUP((H562)/200,0)</f>
        <v>33</v>
      </c>
      <c r="I565" s="34" t="s">
        <v>53</v>
      </c>
      <c r="J565" s="204"/>
      <c r="K565" s="205"/>
      <c r="L565" s="206"/>
    </row>
    <row r="566" spans="1:12" s="187" customFormat="1" x14ac:dyDescent="0.2">
      <c r="A566" s="111" t="str">
        <f>IF(F566&lt;&gt;"",1+MAX($A$7:A565),"")</f>
        <v/>
      </c>
      <c r="B566" s="45"/>
      <c r="C566" s="45"/>
      <c r="D566" s="214"/>
      <c r="E566" s="215" t="s">
        <v>54</v>
      </c>
      <c r="F566" s="216"/>
      <c r="G566" s="217"/>
      <c r="H566" s="218">
        <f>ROUNDUP((H562)*5.25/1000,0)</f>
        <v>35</v>
      </c>
      <c r="I566" s="34" t="s">
        <v>55</v>
      </c>
      <c r="J566" s="204"/>
      <c r="K566" s="205"/>
      <c r="L566" s="206"/>
    </row>
    <row r="567" spans="1:12" s="187" customFormat="1" x14ac:dyDescent="0.2">
      <c r="A567" s="111">
        <f>IF(F567&lt;&gt;"",1+MAX($A$7:A566),"")</f>
        <v>203</v>
      </c>
      <c r="B567" s="2" t="s">
        <v>112</v>
      </c>
      <c r="C567" s="2" t="s">
        <v>111</v>
      </c>
      <c r="D567" s="214"/>
      <c r="E567" s="213" t="s">
        <v>109</v>
      </c>
      <c r="F567" s="17">
        <f>331.6*4</f>
        <v>1326.4</v>
      </c>
      <c r="G567" s="127">
        <v>0.1</v>
      </c>
      <c r="H567" s="33">
        <f>F567*(1+G567)</f>
        <v>1459.0400000000002</v>
      </c>
      <c r="I567" s="34" t="s">
        <v>15</v>
      </c>
      <c r="J567" s="204">
        <f>J$148</f>
        <v>0</v>
      </c>
      <c r="K567" s="205">
        <f>J567*H567</f>
        <v>0</v>
      </c>
      <c r="L567" s="206"/>
    </row>
    <row r="568" spans="1:12" s="187" customFormat="1" x14ac:dyDescent="0.2">
      <c r="A568" s="111">
        <f>IF(F568&lt;&gt;"",1+MAX($A$7:A567),"")</f>
        <v>204</v>
      </c>
      <c r="B568" s="2" t="s">
        <v>112</v>
      </c>
      <c r="C568" s="2" t="s">
        <v>111</v>
      </c>
      <c r="D568" s="212"/>
      <c r="E568" s="213" t="s">
        <v>118</v>
      </c>
      <c r="F568" s="17">
        <f>331.6*9</f>
        <v>2984.4</v>
      </c>
      <c r="G568" s="127">
        <v>0.1</v>
      </c>
      <c r="H568" s="33">
        <f>F568*(1+G568)</f>
        <v>3282.84</v>
      </c>
      <c r="I568" s="34" t="s">
        <v>18</v>
      </c>
      <c r="J568" s="204">
        <f>J$187</f>
        <v>0</v>
      </c>
      <c r="K568" s="205">
        <f>J568*H568</f>
        <v>0</v>
      </c>
      <c r="L568" s="206"/>
    </row>
    <row r="569" spans="1:12" s="187" customFormat="1" x14ac:dyDescent="0.2">
      <c r="A569" s="111">
        <f>IF(F569&lt;&gt;"",1+MAX($A$7:A568),"")</f>
        <v>205</v>
      </c>
      <c r="B569" s="2" t="s">
        <v>112</v>
      </c>
      <c r="C569" s="2" t="s">
        <v>111</v>
      </c>
      <c r="D569" s="212"/>
      <c r="E569" s="213" t="s">
        <v>123</v>
      </c>
      <c r="F569" s="17">
        <f>331.6*9</f>
        <v>2984.4</v>
      </c>
      <c r="G569" s="127">
        <v>0.1</v>
      </c>
      <c r="H569" s="33">
        <f>F569*(1+G569)</f>
        <v>3282.84</v>
      </c>
      <c r="I569" s="34" t="s">
        <v>18</v>
      </c>
      <c r="J569" s="204">
        <f>J$202</f>
        <v>0</v>
      </c>
      <c r="K569" s="205">
        <f>J569*H569</f>
        <v>0</v>
      </c>
      <c r="L569" s="206"/>
    </row>
    <row r="570" spans="1:12" s="187" customFormat="1" x14ac:dyDescent="0.2">
      <c r="A570" s="111" t="str">
        <f>IF(F570&lt;&gt;"",1+MAX($A$7:A569),"")</f>
        <v/>
      </c>
      <c r="B570" s="2"/>
      <c r="C570" s="2"/>
      <c r="D570" s="214"/>
      <c r="E570" s="213"/>
      <c r="F570" s="17"/>
      <c r="G570" s="127"/>
      <c r="H570" s="33"/>
      <c r="I570" s="34"/>
      <c r="J570" s="204"/>
      <c r="K570" s="205"/>
      <c r="L570" s="206"/>
    </row>
    <row r="571" spans="1:12" s="187" customFormat="1" x14ac:dyDescent="0.2">
      <c r="A571" s="111" t="str">
        <f>IF(F571&lt;&gt;"",1+MAX($A$7:A570),"")</f>
        <v/>
      </c>
      <c r="B571" s="207"/>
      <c r="C571" s="207"/>
      <c r="D571" s="201"/>
      <c r="E571" s="208" t="s">
        <v>124</v>
      </c>
      <c r="F571" s="203"/>
      <c r="G571" s="25"/>
      <c r="H571" s="209"/>
      <c r="I571" s="5"/>
      <c r="J571" s="210"/>
      <c r="K571" s="211"/>
      <c r="L571" s="206"/>
    </row>
    <row r="572" spans="1:12" s="187" customFormat="1" x14ac:dyDescent="0.2">
      <c r="A572" s="111">
        <f>IF(F572&lt;&gt;"",1+MAX($A$7:A571),"")</f>
        <v>206</v>
      </c>
      <c r="B572" s="2" t="s">
        <v>112</v>
      </c>
      <c r="C572" s="2" t="s">
        <v>111</v>
      </c>
      <c r="D572" s="212"/>
      <c r="E572" s="213" t="s">
        <v>122</v>
      </c>
      <c r="F572" s="17">
        <f>134.9*9</f>
        <v>1214.1000000000001</v>
      </c>
      <c r="G572" s="127">
        <v>0.1</v>
      </c>
      <c r="H572" s="33">
        <f>F572*(1+G572)</f>
        <v>1335.5100000000002</v>
      </c>
      <c r="I572" s="34" t="s">
        <v>18</v>
      </c>
      <c r="J572" s="204">
        <f>J$143</f>
        <v>0</v>
      </c>
      <c r="K572" s="205">
        <f>J572*H572</f>
        <v>0</v>
      </c>
      <c r="L572" s="206"/>
    </row>
    <row r="573" spans="1:12" s="187" customFormat="1" x14ac:dyDescent="0.2">
      <c r="A573" s="111" t="str">
        <f>IF(F573&lt;&gt;"",1+MAX($A$7:A572),"")</f>
        <v/>
      </c>
      <c r="B573" s="45"/>
      <c r="C573" s="45"/>
      <c r="D573" s="214"/>
      <c r="E573" s="215" t="s">
        <v>48</v>
      </c>
      <c r="F573" s="216"/>
      <c r="G573" s="217"/>
      <c r="H573" s="33">
        <f>ROUNDUP((H572)/32,0)</f>
        <v>42</v>
      </c>
      <c r="I573" s="34" t="s">
        <v>49</v>
      </c>
      <c r="J573" s="204"/>
      <c r="K573" s="205"/>
      <c r="L573" s="206"/>
    </row>
    <row r="574" spans="1:12" s="187" customFormat="1" x14ac:dyDescent="0.2">
      <c r="A574" s="111" t="str">
        <f>IF(F574&lt;&gt;"",1+MAX($A$7:A573),"")</f>
        <v/>
      </c>
      <c r="B574" s="45"/>
      <c r="C574" s="45"/>
      <c r="D574" s="214"/>
      <c r="E574" s="215" t="s">
        <v>50</v>
      </c>
      <c r="F574" s="216"/>
      <c r="G574" s="217"/>
      <c r="H574" s="33">
        <f>ROUNDUP(H573*24/500,0)</f>
        <v>3</v>
      </c>
      <c r="I574" s="34" t="s">
        <v>51</v>
      </c>
      <c r="J574" s="204"/>
      <c r="K574" s="205"/>
      <c r="L574" s="206"/>
    </row>
    <row r="575" spans="1:12" s="187" customFormat="1" x14ac:dyDescent="0.2">
      <c r="A575" s="111" t="str">
        <f>IF(F575&lt;&gt;"",1+MAX($A$7:A574),"")</f>
        <v/>
      </c>
      <c r="B575" s="45"/>
      <c r="C575" s="45"/>
      <c r="D575" s="214"/>
      <c r="E575" s="215" t="s">
        <v>52</v>
      </c>
      <c r="F575" s="216"/>
      <c r="G575" s="217"/>
      <c r="H575" s="218">
        <f>ROUNDUP((H572)/200,0)</f>
        <v>7</v>
      </c>
      <c r="I575" s="34" t="s">
        <v>53</v>
      </c>
      <c r="J575" s="204"/>
      <c r="K575" s="205"/>
      <c r="L575" s="206"/>
    </row>
    <row r="576" spans="1:12" s="187" customFormat="1" x14ac:dyDescent="0.2">
      <c r="A576" s="111" t="str">
        <f>IF(F576&lt;&gt;"",1+MAX($A$7:A575),"")</f>
        <v/>
      </c>
      <c r="B576" s="45"/>
      <c r="C576" s="45"/>
      <c r="D576" s="214"/>
      <c r="E576" s="215" t="s">
        <v>54</v>
      </c>
      <c r="F576" s="216"/>
      <c r="G576" s="217"/>
      <c r="H576" s="218">
        <f>ROUNDUP((H572)*5.25/1000,0)</f>
        <v>8</v>
      </c>
      <c r="I576" s="34" t="s">
        <v>55</v>
      </c>
      <c r="J576" s="204"/>
      <c r="K576" s="205"/>
      <c r="L576" s="206"/>
    </row>
    <row r="577" spans="1:12" s="187" customFormat="1" x14ac:dyDescent="0.2">
      <c r="A577" s="111">
        <f>IF(F577&lt;&gt;"",1+MAX($A$7:A576),"")</f>
        <v>207</v>
      </c>
      <c r="B577" s="2" t="s">
        <v>112</v>
      </c>
      <c r="C577" s="2" t="s">
        <v>111</v>
      </c>
      <c r="D577" s="212"/>
      <c r="E577" s="213" t="s">
        <v>108</v>
      </c>
      <c r="F577" s="17">
        <f>42*9</f>
        <v>378</v>
      </c>
      <c r="G577" s="127">
        <v>0.1</v>
      </c>
      <c r="H577" s="33">
        <f>F577*(1+G577)</f>
        <v>415.8</v>
      </c>
      <c r="I577" s="34" t="s">
        <v>18</v>
      </c>
      <c r="J577" s="204">
        <f>J$160</f>
        <v>0</v>
      </c>
      <c r="K577" s="205">
        <f>J577*H577</f>
        <v>0</v>
      </c>
      <c r="L577" s="206"/>
    </row>
    <row r="578" spans="1:12" s="187" customFormat="1" x14ac:dyDescent="0.2">
      <c r="A578" s="111" t="str">
        <f>IF(F578&lt;&gt;"",1+MAX($A$7:A577),"")</f>
        <v/>
      </c>
      <c r="B578" s="45"/>
      <c r="C578" s="45"/>
      <c r="D578" s="214"/>
      <c r="E578" s="215" t="s">
        <v>48</v>
      </c>
      <c r="F578" s="216"/>
      <c r="G578" s="217"/>
      <c r="H578" s="33">
        <f>ROUNDUP((H577)/32,0)</f>
        <v>13</v>
      </c>
      <c r="I578" s="34" t="s">
        <v>49</v>
      </c>
      <c r="J578" s="204"/>
      <c r="K578" s="205"/>
      <c r="L578" s="206"/>
    </row>
    <row r="579" spans="1:12" s="187" customFormat="1" x14ac:dyDescent="0.2">
      <c r="A579" s="111" t="str">
        <f>IF(F579&lt;&gt;"",1+MAX($A$7:A578),"")</f>
        <v/>
      </c>
      <c r="B579" s="45"/>
      <c r="C579" s="45"/>
      <c r="D579" s="214"/>
      <c r="E579" s="215" t="s">
        <v>50</v>
      </c>
      <c r="F579" s="216"/>
      <c r="G579" s="217"/>
      <c r="H579" s="33">
        <f>ROUNDUP(H578*24/500,0)</f>
        <v>1</v>
      </c>
      <c r="I579" s="34" t="s">
        <v>51</v>
      </c>
      <c r="J579" s="204"/>
      <c r="K579" s="205"/>
      <c r="L579" s="206"/>
    </row>
    <row r="580" spans="1:12" s="187" customFormat="1" x14ac:dyDescent="0.2">
      <c r="A580" s="111" t="str">
        <f>IF(F580&lt;&gt;"",1+MAX($A$7:A579),"")</f>
        <v/>
      </c>
      <c r="B580" s="45"/>
      <c r="C580" s="45"/>
      <c r="D580" s="214"/>
      <c r="E580" s="215" t="s">
        <v>52</v>
      </c>
      <c r="F580" s="216"/>
      <c r="G580" s="217"/>
      <c r="H580" s="218">
        <f>ROUNDUP((H577)/200,0)</f>
        <v>3</v>
      </c>
      <c r="I580" s="34" t="s">
        <v>53</v>
      </c>
      <c r="J580" s="204"/>
      <c r="K580" s="205"/>
      <c r="L580" s="206"/>
    </row>
    <row r="581" spans="1:12" s="187" customFormat="1" x14ac:dyDescent="0.2">
      <c r="A581" s="111" t="str">
        <f>IF(F581&lt;&gt;"",1+MAX($A$7:A580),"")</f>
        <v/>
      </c>
      <c r="B581" s="45"/>
      <c r="C581" s="45"/>
      <c r="D581" s="214"/>
      <c r="E581" s="215" t="s">
        <v>54</v>
      </c>
      <c r="F581" s="216"/>
      <c r="G581" s="217"/>
      <c r="H581" s="218">
        <f>ROUNDUP((H577)*5.25/1000,0)</f>
        <v>3</v>
      </c>
      <c r="I581" s="34" t="s">
        <v>55</v>
      </c>
      <c r="J581" s="204"/>
      <c r="K581" s="205"/>
      <c r="L581" s="206"/>
    </row>
    <row r="582" spans="1:12" s="187" customFormat="1" x14ac:dyDescent="0.2">
      <c r="A582" s="111">
        <f>IF(F582&lt;&gt;"",1+MAX($A$7:A581),"")</f>
        <v>208</v>
      </c>
      <c r="B582" s="2" t="s">
        <v>112</v>
      </c>
      <c r="C582" s="2" t="s">
        <v>111</v>
      </c>
      <c r="D582" s="214"/>
      <c r="E582" s="213" t="s">
        <v>109</v>
      </c>
      <c r="F582" s="17">
        <f>176.9*2</f>
        <v>353.8</v>
      </c>
      <c r="G582" s="127">
        <v>0.1</v>
      </c>
      <c r="H582" s="33">
        <f>F582*(1+G582)</f>
        <v>389.18000000000006</v>
      </c>
      <c r="I582" s="34" t="s">
        <v>15</v>
      </c>
      <c r="J582" s="204">
        <f>J$148</f>
        <v>0</v>
      </c>
      <c r="K582" s="205">
        <f>J582*H582</f>
        <v>0</v>
      </c>
      <c r="L582" s="206"/>
    </row>
    <row r="583" spans="1:12" s="187" customFormat="1" x14ac:dyDescent="0.2">
      <c r="A583" s="111">
        <f>IF(F583&lt;&gt;"",1+MAX($A$7:A582),"")</f>
        <v>209</v>
      </c>
      <c r="B583" s="2" t="s">
        <v>112</v>
      </c>
      <c r="C583" s="2" t="s">
        <v>111</v>
      </c>
      <c r="D583" s="212"/>
      <c r="E583" s="213" t="s">
        <v>484</v>
      </c>
      <c r="F583" s="17">
        <f>176.9*9</f>
        <v>1592.1000000000001</v>
      </c>
      <c r="G583" s="127">
        <v>0.1</v>
      </c>
      <c r="H583" s="33">
        <f>F583*(1+G583)</f>
        <v>1751.3100000000004</v>
      </c>
      <c r="I583" s="34" t="s">
        <v>18</v>
      </c>
      <c r="J583" s="204">
        <f>J$276</f>
        <v>0</v>
      </c>
      <c r="K583" s="205">
        <f>J583*H583</f>
        <v>0</v>
      </c>
      <c r="L583" s="206"/>
    </row>
    <row r="584" spans="1:12" s="187" customFormat="1" x14ac:dyDescent="0.2">
      <c r="A584" s="111">
        <f>IF(F584&lt;&gt;"",1+MAX($A$7:A583),"")</f>
        <v>210</v>
      </c>
      <c r="B584" s="2" t="s">
        <v>112</v>
      </c>
      <c r="C584" s="2" t="s">
        <v>111</v>
      </c>
      <c r="D584" s="212"/>
      <c r="E584" s="213" t="s">
        <v>123</v>
      </c>
      <c r="F584" s="17">
        <f>176.9*9</f>
        <v>1592.1000000000001</v>
      </c>
      <c r="G584" s="127">
        <v>0.1</v>
      </c>
      <c r="H584" s="33">
        <f>F584*(1+G584)</f>
        <v>1751.3100000000004</v>
      </c>
      <c r="I584" s="34" t="s">
        <v>18</v>
      </c>
      <c r="J584" s="204">
        <f>J$202</f>
        <v>0</v>
      </c>
      <c r="K584" s="205">
        <f>J584*H584</f>
        <v>0</v>
      </c>
      <c r="L584" s="206"/>
    </row>
    <row r="585" spans="1:12" s="187" customFormat="1" x14ac:dyDescent="0.2">
      <c r="A585" s="111" t="str">
        <f>IF(F585&lt;&gt;"",1+MAX($A$7:A584),"")</f>
        <v/>
      </c>
      <c r="B585" s="2"/>
      <c r="C585" s="2"/>
      <c r="D585" s="214"/>
      <c r="E585" s="213"/>
      <c r="F585" s="17"/>
      <c r="G585" s="127"/>
      <c r="H585" s="33"/>
      <c r="I585" s="34"/>
      <c r="J585" s="204"/>
      <c r="K585" s="205"/>
      <c r="L585" s="206"/>
    </row>
    <row r="586" spans="1:12" s="187" customFormat="1" x14ac:dyDescent="0.2">
      <c r="A586" s="111" t="str">
        <f>IF(F586&lt;&gt;"",1+MAX($A$7:A585),"")</f>
        <v/>
      </c>
      <c r="B586" s="207"/>
      <c r="C586" s="207"/>
      <c r="D586" s="201"/>
      <c r="E586" s="208" t="s">
        <v>201</v>
      </c>
      <c r="F586" s="203"/>
      <c r="G586" s="25"/>
      <c r="H586" s="209"/>
      <c r="I586" s="5"/>
      <c r="J586" s="210"/>
      <c r="K586" s="211"/>
      <c r="L586" s="206"/>
    </row>
    <row r="587" spans="1:12" s="187" customFormat="1" x14ac:dyDescent="0.2">
      <c r="A587" s="111">
        <f>IF(F587&lt;&gt;"",1+MAX($A$7:A586),"")</f>
        <v>211</v>
      </c>
      <c r="B587" s="2" t="s">
        <v>112</v>
      </c>
      <c r="C587" s="2" t="s">
        <v>111</v>
      </c>
      <c r="D587" s="212"/>
      <c r="E587" s="213" t="s">
        <v>107</v>
      </c>
      <c r="F587" s="17">
        <f>49.9*9</f>
        <v>449.09999999999997</v>
      </c>
      <c r="G587" s="127">
        <v>0.1</v>
      </c>
      <c r="H587" s="33">
        <f>F587*(1+G587)</f>
        <v>494.01</v>
      </c>
      <c r="I587" s="34" t="s">
        <v>18</v>
      </c>
      <c r="J587" s="204">
        <f>J$143</f>
        <v>0</v>
      </c>
      <c r="K587" s="205">
        <f>J587*H587</f>
        <v>0</v>
      </c>
      <c r="L587" s="206"/>
    </row>
    <row r="588" spans="1:12" s="187" customFormat="1" x14ac:dyDescent="0.2">
      <c r="A588" s="111" t="str">
        <f>IF(F588&lt;&gt;"",1+MAX($A$7:A587),"")</f>
        <v/>
      </c>
      <c r="B588" s="45"/>
      <c r="C588" s="45"/>
      <c r="D588" s="214"/>
      <c r="E588" s="215" t="s">
        <v>48</v>
      </c>
      <c r="F588" s="216"/>
      <c r="G588" s="217"/>
      <c r="H588" s="33">
        <f>ROUNDUP((H587)/32,0)</f>
        <v>16</v>
      </c>
      <c r="I588" s="34" t="s">
        <v>49</v>
      </c>
      <c r="J588" s="204"/>
      <c r="K588" s="205"/>
      <c r="L588" s="206"/>
    </row>
    <row r="589" spans="1:12" s="187" customFormat="1" x14ac:dyDescent="0.2">
      <c r="A589" s="111" t="str">
        <f>IF(F589&lt;&gt;"",1+MAX($A$7:A588),"")</f>
        <v/>
      </c>
      <c r="B589" s="45"/>
      <c r="C589" s="45"/>
      <c r="D589" s="214"/>
      <c r="E589" s="215" t="s">
        <v>50</v>
      </c>
      <c r="F589" s="216"/>
      <c r="G589" s="217"/>
      <c r="H589" s="33">
        <f>ROUNDUP(H588*24/500,0)</f>
        <v>1</v>
      </c>
      <c r="I589" s="34" t="s">
        <v>51</v>
      </c>
      <c r="J589" s="204"/>
      <c r="K589" s="205"/>
      <c r="L589" s="206"/>
    </row>
    <row r="590" spans="1:12" s="187" customFormat="1" x14ac:dyDescent="0.2">
      <c r="A590" s="111" t="str">
        <f>IF(F590&lt;&gt;"",1+MAX($A$7:A589),"")</f>
        <v/>
      </c>
      <c r="B590" s="45"/>
      <c r="C590" s="45"/>
      <c r="D590" s="214"/>
      <c r="E590" s="215" t="s">
        <v>52</v>
      </c>
      <c r="F590" s="216"/>
      <c r="G590" s="217"/>
      <c r="H590" s="218">
        <f>ROUNDUP((H587)/200,0)</f>
        <v>3</v>
      </c>
      <c r="I590" s="34" t="s">
        <v>53</v>
      </c>
      <c r="J590" s="204"/>
      <c r="K590" s="205"/>
      <c r="L590" s="206"/>
    </row>
    <row r="591" spans="1:12" s="187" customFormat="1" x14ac:dyDescent="0.2">
      <c r="A591" s="111" t="str">
        <f>IF(F591&lt;&gt;"",1+MAX($A$7:A590),"")</f>
        <v/>
      </c>
      <c r="B591" s="45"/>
      <c r="C591" s="45"/>
      <c r="D591" s="214"/>
      <c r="E591" s="215" t="s">
        <v>54</v>
      </c>
      <c r="F591" s="216"/>
      <c r="G591" s="217"/>
      <c r="H591" s="218">
        <f>ROUNDUP((H587)*5.25/1000,0)</f>
        <v>3</v>
      </c>
      <c r="I591" s="34" t="s">
        <v>55</v>
      </c>
      <c r="J591" s="204"/>
      <c r="K591" s="205"/>
      <c r="L591" s="206"/>
    </row>
    <row r="592" spans="1:12" s="187" customFormat="1" x14ac:dyDescent="0.2">
      <c r="A592" s="111">
        <f>IF(F592&lt;&gt;"",1+MAX($A$7:A591),"")</f>
        <v>212</v>
      </c>
      <c r="B592" s="2" t="s">
        <v>112</v>
      </c>
      <c r="C592" s="2" t="s">
        <v>111</v>
      </c>
      <c r="D592" s="212"/>
      <c r="E592" s="213" t="s">
        <v>108</v>
      </c>
      <c r="F592" s="17">
        <f>49.9*9</f>
        <v>449.09999999999997</v>
      </c>
      <c r="G592" s="127">
        <v>0.1</v>
      </c>
      <c r="H592" s="33">
        <f>F592*(1+G592)</f>
        <v>494.01</v>
      </c>
      <c r="I592" s="34" t="s">
        <v>18</v>
      </c>
      <c r="J592" s="204">
        <f>J$160</f>
        <v>0</v>
      </c>
      <c r="K592" s="205">
        <f>J592*H592</f>
        <v>0</v>
      </c>
      <c r="L592" s="206"/>
    </row>
    <row r="593" spans="1:12" s="187" customFormat="1" x14ac:dyDescent="0.2">
      <c r="A593" s="111" t="str">
        <f>IF(F593&lt;&gt;"",1+MAX($A$7:A592),"")</f>
        <v/>
      </c>
      <c r="B593" s="45"/>
      <c r="C593" s="45"/>
      <c r="D593" s="214"/>
      <c r="E593" s="215" t="s">
        <v>48</v>
      </c>
      <c r="F593" s="216"/>
      <c r="G593" s="217"/>
      <c r="H593" s="33">
        <f>ROUNDUP((H592)/32,0)</f>
        <v>16</v>
      </c>
      <c r="I593" s="34" t="s">
        <v>49</v>
      </c>
      <c r="J593" s="204"/>
      <c r="K593" s="205"/>
      <c r="L593" s="206"/>
    </row>
    <row r="594" spans="1:12" s="187" customFormat="1" x14ac:dyDescent="0.2">
      <c r="A594" s="111" t="str">
        <f>IF(F594&lt;&gt;"",1+MAX($A$7:A593),"")</f>
        <v/>
      </c>
      <c r="B594" s="45"/>
      <c r="C594" s="45"/>
      <c r="D594" s="214"/>
      <c r="E594" s="215" t="s">
        <v>50</v>
      </c>
      <c r="F594" s="216"/>
      <c r="G594" s="217"/>
      <c r="H594" s="33">
        <f>ROUNDUP(H593*24/500,0)</f>
        <v>1</v>
      </c>
      <c r="I594" s="34" t="s">
        <v>51</v>
      </c>
      <c r="J594" s="204"/>
      <c r="K594" s="205"/>
      <c r="L594" s="206"/>
    </row>
    <row r="595" spans="1:12" s="187" customFormat="1" x14ac:dyDescent="0.2">
      <c r="A595" s="111" t="str">
        <f>IF(F595&lt;&gt;"",1+MAX($A$7:A594),"")</f>
        <v/>
      </c>
      <c r="B595" s="45"/>
      <c r="C595" s="45"/>
      <c r="D595" s="214"/>
      <c r="E595" s="215" t="s">
        <v>52</v>
      </c>
      <c r="F595" s="216"/>
      <c r="G595" s="217"/>
      <c r="H595" s="218">
        <f>ROUNDUP((H592)/200,0)</f>
        <v>3</v>
      </c>
      <c r="I595" s="34" t="s">
        <v>53</v>
      </c>
      <c r="J595" s="204"/>
      <c r="K595" s="205"/>
      <c r="L595" s="206"/>
    </row>
    <row r="596" spans="1:12" s="187" customFormat="1" x14ac:dyDescent="0.2">
      <c r="A596" s="111" t="str">
        <f>IF(F596&lt;&gt;"",1+MAX($A$7:A595),"")</f>
        <v/>
      </c>
      <c r="B596" s="45"/>
      <c r="C596" s="45"/>
      <c r="D596" s="214"/>
      <c r="E596" s="215" t="s">
        <v>54</v>
      </c>
      <c r="F596" s="216"/>
      <c r="G596" s="217"/>
      <c r="H596" s="218">
        <f>ROUNDUP((H592)*5.25/1000,0)</f>
        <v>3</v>
      </c>
      <c r="I596" s="34" t="s">
        <v>55</v>
      </c>
      <c r="J596" s="204"/>
      <c r="K596" s="205"/>
      <c r="L596" s="206"/>
    </row>
    <row r="597" spans="1:12" s="187" customFormat="1" x14ac:dyDescent="0.2">
      <c r="A597" s="111">
        <f>IF(F597&lt;&gt;"",1+MAX($A$7:A596),"")</f>
        <v>213</v>
      </c>
      <c r="B597" s="2" t="s">
        <v>112</v>
      </c>
      <c r="C597" s="2" t="s">
        <v>111</v>
      </c>
      <c r="D597" s="214"/>
      <c r="E597" s="213" t="s">
        <v>109</v>
      </c>
      <c r="F597" s="17">
        <f>49.9*4</f>
        <v>199.6</v>
      </c>
      <c r="G597" s="127">
        <v>0.1</v>
      </c>
      <c r="H597" s="33">
        <f>F597*(1+G597)</f>
        <v>219.56</v>
      </c>
      <c r="I597" s="34" t="s">
        <v>15</v>
      </c>
      <c r="J597" s="204">
        <f>J$148</f>
        <v>0</v>
      </c>
      <c r="K597" s="205">
        <f>J597*H597</f>
        <v>0</v>
      </c>
      <c r="L597" s="206"/>
    </row>
    <row r="598" spans="1:12" s="187" customFormat="1" x14ac:dyDescent="0.2">
      <c r="A598" s="111">
        <f>IF(F598&lt;&gt;"",1+MAX($A$7:A597),"")</f>
        <v>214</v>
      </c>
      <c r="B598" s="2" t="s">
        <v>112</v>
      </c>
      <c r="C598" s="2" t="s">
        <v>111</v>
      </c>
      <c r="D598" s="212"/>
      <c r="E598" s="213" t="s">
        <v>119</v>
      </c>
      <c r="F598" s="17">
        <f t="shared" ref="F598:F599" si="76">49.9*9</f>
        <v>449.09999999999997</v>
      </c>
      <c r="G598" s="127">
        <v>0.1</v>
      </c>
      <c r="H598" s="33">
        <f>F598*(1+G598)</f>
        <v>494.01</v>
      </c>
      <c r="I598" s="34" t="s">
        <v>18</v>
      </c>
      <c r="J598" s="204">
        <f>J$226</f>
        <v>0</v>
      </c>
      <c r="K598" s="205">
        <f>J598*H598</f>
        <v>0</v>
      </c>
      <c r="L598" s="206"/>
    </row>
    <row r="599" spans="1:12" s="187" customFormat="1" x14ac:dyDescent="0.2">
      <c r="A599" s="111">
        <f>IF(F599&lt;&gt;"",1+MAX($A$7:A598),"")</f>
        <v>215</v>
      </c>
      <c r="B599" s="2" t="s">
        <v>112</v>
      </c>
      <c r="C599" s="2" t="s">
        <v>111</v>
      </c>
      <c r="D599" s="212"/>
      <c r="E599" s="213" t="s">
        <v>123</v>
      </c>
      <c r="F599" s="17">
        <f t="shared" si="76"/>
        <v>449.09999999999997</v>
      </c>
      <c r="G599" s="127">
        <v>0.1</v>
      </c>
      <c r="H599" s="33">
        <f>F599*(1+G599)</f>
        <v>494.01</v>
      </c>
      <c r="I599" s="34" t="s">
        <v>18</v>
      </c>
      <c r="J599" s="204">
        <f>J$202</f>
        <v>0</v>
      </c>
      <c r="K599" s="205">
        <f>J599*H599</f>
        <v>0</v>
      </c>
      <c r="L599" s="206"/>
    </row>
    <row r="600" spans="1:12" s="187" customFormat="1" x14ac:dyDescent="0.2">
      <c r="A600" s="111" t="str">
        <f>IF(F600&lt;&gt;"",1+MAX($A$7:A599),"")</f>
        <v/>
      </c>
      <c r="B600" s="2"/>
      <c r="C600" s="2"/>
      <c r="D600" s="214"/>
      <c r="E600" s="213"/>
      <c r="F600" s="17"/>
      <c r="G600" s="127"/>
      <c r="H600" s="33"/>
      <c r="I600" s="34"/>
      <c r="J600" s="204"/>
      <c r="K600" s="205"/>
      <c r="L600" s="206"/>
    </row>
    <row r="601" spans="1:12" s="187" customFormat="1" x14ac:dyDescent="0.2">
      <c r="A601" s="111" t="str">
        <f>IF(F601&lt;&gt;"",1+MAX($A$7:A600),"")</f>
        <v/>
      </c>
      <c r="B601" s="207"/>
      <c r="C601" s="207"/>
      <c r="D601" s="201"/>
      <c r="E601" s="208" t="s">
        <v>202</v>
      </c>
      <c r="F601" s="203"/>
      <c r="G601" s="25"/>
      <c r="H601" s="209"/>
      <c r="I601" s="5"/>
      <c r="J601" s="210"/>
      <c r="K601" s="211"/>
      <c r="L601" s="206"/>
    </row>
    <row r="602" spans="1:12" s="187" customFormat="1" ht="31.5" x14ac:dyDescent="0.2">
      <c r="A602" s="111">
        <f>IF(F602&lt;&gt;"",1+MAX($A$7:A601),"")</f>
        <v>216</v>
      </c>
      <c r="B602" s="2" t="s">
        <v>112</v>
      </c>
      <c r="C602" s="2" t="s">
        <v>111</v>
      </c>
      <c r="D602" s="212"/>
      <c r="E602" s="213" t="s">
        <v>204</v>
      </c>
      <c r="F602" s="17">
        <f>69.2*9*2</f>
        <v>1245.6000000000001</v>
      </c>
      <c r="G602" s="127">
        <v>0.1</v>
      </c>
      <c r="H602" s="33">
        <f>F602*(1+G602)</f>
        <v>1370.1600000000003</v>
      </c>
      <c r="I602" s="34" t="s">
        <v>18</v>
      </c>
      <c r="J602" s="204">
        <f>J$160</f>
        <v>0</v>
      </c>
      <c r="K602" s="205">
        <f>J602*H602</f>
        <v>0</v>
      </c>
      <c r="L602" s="206"/>
    </row>
    <row r="603" spans="1:12" s="187" customFormat="1" x14ac:dyDescent="0.2">
      <c r="A603" s="111" t="str">
        <f>IF(F603&lt;&gt;"",1+MAX($A$7:A602),"")</f>
        <v/>
      </c>
      <c r="B603" s="45"/>
      <c r="C603" s="45"/>
      <c r="D603" s="214"/>
      <c r="E603" s="215" t="s">
        <v>48</v>
      </c>
      <c r="F603" s="216"/>
      <c r="G603" s="217"/>
      <c r="H603" s="33">
        <f>ROUNDUP((H602)/32,0)</f>
        <v>43</v>
      </c>
      <c r="I603" s="34" t="s">
        <v>49</v>
      </c>
      <c r="J603" s="204"/>
      <c r="K603" s="205"/>
      <c r="L603" s="206"/>
    </row>
    <row r="604" spans="1:12" s="187" customFormat="1" x14ac:dyDescent="0.2">
      <c r="A604" s="111" t="str">
        <f>IF(F604&lt;&gt;"",1+MAX($A$7:A603),"")</f>
        <v/>
      </c>
      <c r="B604" s="45"/>
      <c r="C604" s="45"/>
      <c r="D604" s="214"/>
      <c r="E604" s="215" t="s">
        <v>50</v>
      </c>
      <c r="F604" s="216"/>
      <c r="G604" s="217"/>
      <c r="H604" s="33">
        <f>ROUNDUP(H603*24/500,0)</f>
        <v>3</v>
      </c>
      <c r="I604" s="34" t="s">
        <v>51</v>
      </c>
      <c r="J604" s="204"/>
      <c r="K604" s="205"/>
      <c r="L604" s="206"/>
    </row>
    <row r="605" spans="1:12" s="187" customFormat="1" x14ac:dyDescent="0.2">
      <c r="A605" s="111" t="str">
        <f>IF(F605&lt;&gt;"",1+MAX($A$7:A604),"")</f>
        <v/>
      </c>
      <c r="B605" s="45"/>
      <c r="C605" s="45"/>
      <c r="D605" s="214"/>
      <c r="E605" s="215" t="s">
        <v>52</v>
      </c>
      <c r="F605" s="216"/>
      <c r="G605" s="217"/>
      <c r="H605" s="218">
        <f>ROUNDUP((H602)/200,0)</f>
        <v>7</v>
      </c>
      <c r="I605" s="34" t="s">
        <v>53</v>
      </c>
      <c r="J605" s="204"/>
      <c r="K605" s="205"/>
      <c r="L605" s="206"/>
    </row>
    <row r="606" spans="1:12" s="187" customFormat="1" x14ac:dyDescent="0.2">
      <c r="A606" s="111" t="str">
        <f>IF(F606&lt;&gt;"",1+MAX($A$7:A605),"")</f>
        <v/>
      </c>
      <c r="B606" s="45"/>
      <c r="C606" s="45"/>
      <c r="D606" s="214"/>
      <c r="E606" s="215" t="s">
        <v>54</v>
      </c>
      <c r="F606" s="216"/>
      <c r="G606" s="217"/>
      <c r="H606" s="218">
        <f>ROUNDUP((H602)*5.25/1000,0)</f>
        <v>8</v>
      </c>
      <c r="I606" s="34" t="s">
        <v>55</v>
      </c>
      <c r="J606" s="204"/>
      <c r="K606" s="205"/>
      <c r="L606" s="206"/>
    </row>
    <row r="607" spans="1:12" s="187" customFormat="1" x14ac:dyDescent="0.2">
      <c r="A607" s="111">
        <f>IF(F607&lt;&gt;"",1+MAX($A$7:A606),"")</f>
        <v>217</v>
      </c>
      <c r="B607" s="2" t="s">
        <v>112</v>
      </c>
      <c r="C607" s="2" t="s">
        <v>111</v>
      </c>
      <c r="D607" s="214"/>
      <c r="E607" s="213" t="s">
        <v>109</v>
      </c>
      <c r="F607" s="17">
        <f>69.2*4</f>
        <v>276.8</v>
      </c>
      <c r="G607" s="127">
        <v>0.1</v>
      </c>
      <c r="H607" s="33">
        <f>F607*(1+G607)</f>
        <v>304.48</v>
      </c>
      <c r="I607" s="34" t="s">
        <v>15</v>
      </c>
      <c r="J607" s="204">
        <f>J$148</f>
        <v>0</v>
      </c>
      <c r="K607" s="205">
        <f>J607*H607</f>
        <v>0</v>
      </c>
      <c r="L607" s="206"/>
    </row>
    <row r="608" spans="1:12" s="187" customFormat="1" x14ac:dyDescent="0.2">
      <c r="A608" s="111">
        <f>IF(F608&lt;&gt;"",1+MAX($A$7:A607),"")</f>
        <v>218</v>
      </c>
      <c r="B608" s="2" t="s">
        <v>112</v>
      </c>
      <c r="C608" s="2" t="s">
        <v>111</v>
      </c>
      <c r="D608" s="212"/>
      <c r="E608" s="213" t="s">
        <v>119</v>
      </c>
      <c r="F608" s="17">
        <f>69.2*9</f>
        <v>622.80000000000007</v>
      </c>
      <c r="G608" s="127">
        <v>0.1</v>
      </c>
      <c r="H608" s="33">
        <f>F608*(1+G608)</f>
        <v>685.08000000000015</v>
      </c>
      <c r="I608" s="34" t="s">
        <v>18</v>
      </c>
      <c r="J608" s="204">
        <f>J$226</f>
        <v>0</v>
      </c>
      <c r="K608" s="205">
        <f>J608*H608</f>
        <v>0</v>
      </c>
      <c r="L608" s="206"/>
    </row>
    <row r="609" spans="1:12" s="187" customFormat="1" x14ac:dyDescent="0.2">
      <c r="A609" s="111">
        <f>IF(F609&lt;&gt;"",1+MAX($A$7:A608),"")</f>
        <v>219</v>
      </c>
      <c r="B609" s="2" t="s">
        <v>112</v>
      </c>
      <c r="C609" s="2" t="s">
        <v>111</v>
      </c>
      <c r="D609" s="212"/>
      <c r="E609" s="213" t="s">
        <v>123</v>
      </c>
      <c r="F609" s="17">
        <f>69.2*9</f>
        <v>622.80000000000007</v>
      </c>
      <c r="G609" s="127">
        <v>0.1</v>
      </c>
      <c r="H609" s="33">
        <f>F609*(1+G609)</f>
        <v>685.08000000000015</v>
      </c>
      <c r="I609" s="34" t="s">
        <v>18</v>
      </c>
      <c r="J609" s="204">
        <f>J$202</f>
        <v>0</v>
      </c>
      <c r="K609" s="205">
        <f>J609*H609</f>
        <v>0</v>
      </c>
      <c r="L609" s="206"/>
    </row>
    <row r="610" spans="1:12" s="187" customFormat="1" x14ac:dyDescent="0.2">
      <c r="A610" s="111" t="str">
        <f>IF(F610&lt;&gt;"",1+MAX($A$7:A609),"")</f>
        <v/>
      </c>
      <c r="B610" s="2"/>
      <c r="C610" s="2"/>
      <c r="D610" s="214"/>
      <c r="E610" s="213"/>
      <c r="F610" s="17"/>
      <c r="G610" s="127"/>
      <c r="H610" s="33"/>
      <c r="I610" s="34"/>
      <c r="J610" s="204"/>
      <c r="K610" s="205"/>
      <c r="L610" s="206"/>
    </row>
    <row r="611" spans="1:12" s="187" customFormat="1" x14ac:dyDescent="0.2">
      <c r="A611" s="111" t="str">
        <f>IF(F611&lt;&gt;"",1+MAX($A$7:A610),"")</f>
        <v/>
      </c>
      <c r="B611" s="207"/>
      <c r="C611" s="207"/>
      <c r="D611" s="201"/>
      <c r="E611" s="208" t="s">
        <v>125</v>
      </c>
      <c r="F611" s="203"/>
      <c r="G611" s="25"/>
      <c r="H611" s="209"/>
      <c r="I611" s="5"/>
      <c r="J611" s="210"/>
      <c r="K611" s="211"/>
      <c r="L611" s="206"/>
    </row>
    <row r="612" spans="1:12" s="187" customFormat="1" ht="31.5" x14ac:dyDescent="0.2">
      <c r="A612" s="111">
        <f>IF(F612&lt;&gt;"",1+MAX($A$7:A611),"")</f>
        <v>220</v>
      </c>
      <c r="B612" s="2" t="s">
        <v>112</v>
      </c>
      <c r="C612" s="2" t="s">
        <v>111</v>
      </c>
      <c r="D612" s="212"/>
      <c r="E612" s="213" t="s">
        <v>205</v>
      </c>
      <c r="F612" s="17">
        <f>5.4*9</f>
        <v>48.6</v>
      </c>
      <c r="G612" s="127">
        <v>0.1</v>
      </c>
      <c r="H612" s="33">
        <f>F612*(1+G612)</f>
        <v>53.460000000000008</v>
      </c>
      <c r="I612" s="34" t="s">
        <v>18</v>
      </c>
      <c r="J612" s="204">
        <f>J$160</f>
        <v>0</v>
      </c>
      <c r="K612" s="205">
        <f>J612*H612</f>
        <v>0</v>
      </c>
      <c r="L612" s="206"/>
    </row>
    <row r="613" spans="1:12" s="187" customFormat="1" x14ac:dyDescent="0.2">
      <c r="A613" s="111" t="str">
        <f>IF(F613&lt;&gt;"",1+MAX($A$7:A612),"")</f>
        <v/>
      </c>
      <c r="B613" s="45"/>
      <c r="C613" s="45"/>
      <c r="D613" s="214"/>
      <c r="E613" s="215" t="s">
        <v>48</v>
      </c>
      <c r="F613" s="216"/>
      <c r="G613" s="217"/>
      <c r="H613" s="33">
        <f>ROUNDUP((H612)/32,0)</f>
        <v>2</v>
      </c>
      <c r="I613" s="34" t="s">
        <v>49</v>
      </c>
      <c r="J613" s="204"/>
      <c r="K613" s="205"/>
      <c r="L613" s="206"/>
    </row>
    <row r="614" spans="1:12" s="187" customFormat="1" x14ac:dyDescent="0.2">
      <c r="A614" s="111" t="str">
        <f>IF(F614&lt;&gt;"",1+MAX($A$7:A613),"")</f>
        <v/>
      </c>
      <c r="B614" s="45"/>
      <c r="C614" s="45"/>
      <c r="D614" s="214"/>
      <c r="E614" s="215" t="s">
        <v>50</v>
      </c>
      <c r="F614" s="216"/>
      <c r="G614" s="217"/>
      <c r="H614" s="33">
        <f>ROUNDUP(H613*24/500,0)</f>
        <v>1</v>
      </c>
      <c r="I614" s="34" t="s">
        <v>51</v>
      </c>
      <c r="J614" s="204"/>
      <c r="K614" s="205"/>
      <c r="L614" s="206"/>
    </row>
    <row r="615" spans="1:12" s="187" customFormat="1" x14ac:dyDescent="0.2">
      <c r="A615" s="111" t="str">
        <f>IF(F615&lt;&gt;"",1+MAX($A$7:A614),"")</f>
        <v/>
      </c>
      <c r="B615" s="45"/>
      <c r="C615" s="45"/>
      <c r="D615" s="214"/>
      <c r="E615" s="215" t="s">
        <v>52</v>
      </c>
      <c r="F615" s="216"/>
      <c r="G615" s="217"/>
      <c r="H615" s="218">
        <f>ROUNDUP((H612)/200,0)</f>
        <v>1</v>
      </c>
      <c r="I615" s="34" t="s">
        <v>53</v>
      </c>
      <c r="J615" s="204"/>
      <c r="K615" s="205"/>
      <c r="L615" s="206"/>
    </row>
    <row r="616" spans="1:12" s="187" customFormat="1" x14ac:dyDescent="0.2">
      <c r="A616" s="111" t="str">
        <f>IF(F616&lt;&gt;"",1+MAX($A$7:A615),"")</f>
        <v/>
      </c>
      <c r="B616" s="45"/>
      <c r="C616" s="45"/>
      <c r="D616" s="214"/>
      <c r="E616" s="215" t="s">
        <v>54</v>
      </c>
      <c r="F616" s="216"/>
      <c r="G616" s="217"/>
      <c r="H616" s="218">
        <f>ROUNDUP((H612)*5.25/1000,0)</f>
        <v>1</v>
      </c>
      <c r="I616" s="34" t="s">
        <v>55</v>
      </c>
      <c r="J616" s="204"/>
      <c r="K616" s="205"/>
      <c r="L616" s="206"/>
    </row>
    <row r="617" spans="1:12" s="187" customFormat="1" x14ac:dyDescent="0.2">
      <c r="A617" s="111">
        <f>IF(F617&lt;&gt;"",1+MAX($A$7:A616),"")</f>
        <v>221</v>
      </c>
      <c r="B617" s="2" t="s">
        <v>112</v>
      </c>
      <c r="C617" s="2" t="s">
        <v>111</v>
      </c>
      <c r="D617" s="214"/>
      <c r="E617" s="213" t="s">
        <v>109</v>
      </c>
      <c r="F617" s="17">
        <f>5.4*2</f>
        <v>10.8</v>
      </c>
      <c r="G617" s="127">
        <v>0.1</v>
      </c>
      <c r="H617" s="33">
        <f>F617*(1+G617)</f>
        <v>11.880000000000003</v>
      </c>
      <c r="I617" s="34" t="s">
        <v>15</v>
      </c>
      <c r="J617" s="204">
        <f>J$148</f>
        <v>0</v>
      </c>
      <c r="K617" s="205">
        <f>J617*H617</f>
        <v>0</v>
      </c>
      <c r="L617" s="206"/>
    </row>
    <row r="618" spans="1:12" s="187" customFormat="1" x14ac:dyDescent="0.2">
      <c r="A618" s="111">
        <f>IF(F618&lt;&gt;"",1+MAX($A$7:A617),"")</f>
        <v>222</v>
      </c>
      <c r="B618" s="2" t="s">
        <v>112</v>
      </c>
      <c r="C618" s="2" t="s">
        <v>111</v>
      </c>
      <c r="D618" s="212"/>
      <c r="E618" s="213" t="s">
        <v>126</v>
      </c>
      <c r="F618" s="17">
        <f>5.4*9</f>
        <v>48.6</v>
      </c>
      <c r="G618" s="127">
        <v>0.1</v>
      </c>
      <c r="H618" s="33">
        <f>F618*(1+G618)</f>
        <v>53.460000000000008</v>
      </c>
      <c r="I618" s="34" t="s">
        <v>18</v>
      </c>
      <c r="J618" s="130">
        <v>0</v>
      </c>
      <c r="K618" s="205">
        <f>J618*H618</f>
        <v>0</v>
      </c>
      <c r="L618" s="206"/>
    </row>
    <row r="619" spans="1:12" s="187" customFormat="1" x14ac:dyDescent="0.2">
      <c r="A619" s="111">
        <f>IF(F619&lt;&gt;"",1+MAX($A$7:A618),"")</f>
        <v>223</v>
      </c>
      <c r="B619" s="2" t="s">
        <v>112</v>
      </c>
      <c r="C619" s="2" t="s">
        <v>111</v>
      </c>
      <c r="D619" s="212"/>
      <c r="E619" s="213" t="s">
        <v>123</v>
      </c>
      <c r="F619" s="17">
        <f>5.4*9</f>
        <v>48.6</v>
      </c>
      <c r="G619" s="127">
        <v>0.1</v>
      </c>
      <c r="H619" s="33">
        <f>F619*(1+G619)</f>
        <v>53.460000000000008</v>
      </c>
      <c r="I619" s="34" t="s">
        <v>18</v>
      </c>
      <c r="J619" s="204">
        <f>J$202</f>
        <v>0</v>
      </c>
      <c r="K619" s="205">
        <f>J619*H619</f>
        <v>0</v>
      </c>
      <c r="L619" s="206"/>
    </row>
    <row r="620" spans="1:12" s="187" customFormat="1" x14ac:dyDescent="0.2">
      <c r="A620" s="111" t="str">
        <f>IF(F620&lt;&gt;"",1+MAX($A$7:A619),"")</f>
        <v/>
      </c>
      <c r="B620" s="2"/>
      <c r="C620" s="2"/>
      <c r="D620" s="214"/>
      <c r="E620" s="213"/>
      <c r="F620" s="17"/>
      <c r="G620" s="127"/>
      <c r="H620" s="33"/>
      <c r="I620" s="34"/>
      <c r="J620" s="204"/>
      <c r="K620" s="205"/>
      <c r="L620" s="206"/>
    </row>
    <row r="621" spans="1:12" s="187" customFormat="1" x14ac:dyDescent="0.2">
      <c r="A621" s="111" t="str">
        <f>IF(F621&lt;&gt;"",1+MAX($A$7:A620),"")</f>
        <v/>
      </c>
      <c r="B621" s="207"/>
      <c r="C621" s="207"/>
      <c r="D621" s="201"/>
      <c r="E621" s="208" t="s">
        <v>127</v>
      </c>
      <c r="F621" s="203"/>
      <c r="G621" s="25"/>
      <c r="H621" s="209"/>
      <c r="I621" s="5"/>
      <c r="J621" s="210"/>
      <c r="K621" s="211"/>
      <c r="L621" s="206"/>
    </row>
    <row r="622" spans="1:12" s="187" customFormat="1" x14ac:dyDescent="0.2">
      <c r="A622" s="111">
        <f>IF(F622&lt;&gt;"",1+MAX($A$7:A621),"")</f>
        <v>224</v>
      </c>
      <c r="B622" s="2" t="s">
        <v>112</v>
      </c>
      <c r="C622" s="2" t="s">
        <v>111</v>
      </c>
      <c r="D622" s="212"/>
      <c r="E622" s="213" t="s">
        <v>107</v>
      </c>
      <c r="F622" s="17">
        <f>49.2*9*2</f>
        <v>885.6</v>
      </c>
      <c r="G622" s="127">
        <v>0.1</v>
      </c>
      <c r="H622" s="33">
        <f>F622*(1+G622)</f>
        <v>974.16000000000008</v>
      </c>
      <c r="I622" s="34" t="s">
        <v>18</v>
      </c>
      <c r="J622" s="204">
        <f>J$143</f>
        <v>0</v>
      </c>
      <c r="K622" s="205">
        <f>J622*H622</f>
        <v>0</v>
      </c>
      <c r="L622" s="206"/>
    </row>
    <row r="623" spans="1:12" s="187" customFormat="1" x14ac:dyDescent="0.2">
      <c r="A623" s="111" t="str">
        <f>IF(F623&lt;&gt;"",1+MAX($A$7:A622),"")</f>
        <v/>
      </c>
      <c r="B623" s="45"/>
      <c r="C623" s="45"/>
      <c r="D623" s="214"/>
      <c r="E623" s="215" t="s">
        <v>48</v>
      </c>
      <c r="F623" s="216"/>
      <c r="G623" s="217"/>
      <c r="H623" s="33">
        <f>ROUNDUP((H622)/32,0)</f>
        <v>31</v>
      </c>
      <c r="I623" s="34" t="s">
        <v>49</v>
      </c>
      <c r="J623" s="204"/>
      <c r="K623" s="205"/>
      <c r="L623" s="206"/>
    </row>
    <row r="624" spans="1:12" s="187" customFormat="1" x14ac:dyDescent="0.2">
      <c r="A624" s="111" t="str">
        <f>IF(F624&lt;&gt;"",1+MAX($A$7:A623),"")</f>
        <v/>
      </c>
      <c r="B624" s="45"/>
      <c r="C624" s="45"/>
      <c r="D624" s="214"/>
      <c r="E624" s="215" t="s">
        <v>50</v>
      </c>
      <c r="F624" s="216"/>
      <c r="G624" s="217"/>
      <c r="H624" s="33">
        <f>ROUNDUP(H623*24/500,0)</f>
        <v>2</v>
      </c>
      <c r="I624" s="34" t="s">
        <v>51</v>
      </c>
      <c r="J624" s="204"/>
      <c r="K624" s="205"/>
      <c r="L624" s="206"/>
    </row>
    <row r="625" spans="1:12" s="187" customFormat="1" x14ac:dyDescent="0.2">
      <c r="A625" s="111" t="str">
        <f>IF(F625&lt;&gt;"",1+MAX($A$7:A624),"")</f>
        <v/>
      </c>
      <c r="B625" s="45"/>
      <c r="C625" s="45"/>
      <c r="D625" s="214"/>
      <c r="E625" s="215" t="s">
        <v>52</v>
      </c>
      <c r="F625" s="216"/>
      <c r="G625" s="217"/>
      <c r="H625" s="218">
        <f>ROUNDUP((H622)/200,0)</f>
        <v>5</v>
      </c>
      <c r="I625" s="34" t="s">
        <v>53</v>
      </c>
      <c r="J625" s="204"/>
      <c r="K625" s="205"/>
      <c r="L625" s="206"/>
    </row>
    <row r="626" spans="1:12" s="187" customFormat="1" x14ac:dyDescent="0.2">
      <c r="A626" s="111" t="str">
        <f>IF(F626&lt;&gt;"",1+MAX($A$7:A625),"")</f>
        <v/>
      </c>
      <c r="B626" s="45"/>
      <c r="C626" s="45"/>
      <c r="D626" s="214"/>
      <c r="E626" s="215" t="s">
        <v>54</v>
      </c>
      <c r="F626" s="216"/>
      <c r="G626" s="217"/>
      <c r="H626" s="218">
        <f>ROUNDUP((H622)*5.25/1000,0)</f>
        <v>6</v>
      </c>
      <c r="I626" s="34" t="s">
        <v>55</v>
      </c>
      <c r="J626" s="204"/>
      <c r="K626" s="205"/>
      <c r="L626" s="206"/>
    </row>
    <row r="627" spans="1:12" s="187" customFormat="1" x14ac:dyDescent="0.2">
      <c r="A627" s="111">
        <f>IF(F627&lt;&gt;"",1+MAX($A$7:A626),"")</f>
        <v>225</v>
      </c>
      <c r="B627" s="2" t="s">
        <v>112</v>
      </c>
      <c r="C627" s="2" t="s">
        <v>111</v>
      </c>
      <c r="D627" s="214"/>
      <c r="E627" s="213" t="s">
        <v>109</v>
      </c>
      <c r="F627" s="17">
        <f>49.2*4</f>
        <v>196.8</v>
      </c>
      <c r="G627" s="127">
        <v>0.1</v>
      </c>
      <c r="H627" s="33">
        <f>F627*(1+G627)</f>
        <v>216.48000000000002</v>
      </c>
      <c r="I627" s="34" t="s">
        <v>15</v>
      </c>
      <c r="J627" s="204">
        <f>J$148</f>
        <v>0</v>
      </c>
      <c r="K627" s="205">
        <f>J627*H627</f>
        <v>0</v>
      </c>
      <c r="L627" s="206"/>
    </row>
    <row r="628" spans="1:12" s="187" customFormat="1" x14ac:dyDescent="0.2">
      <c r="A628" s="111">
        <f>IF(F628&lt;&gt;"",1+MAX($A$7:A627),"")</f>
        <v>226</v>
      </c>
      <c r="B628" s="2" t="s">
        <v>112</v>
      </c>
      <c r="C628" s="2" t="s">
        <v>111</v>
      </c>
      <c r="D628" s="212"/>
      <c r="E628" s="213" t="s">
        <v>116</v>
      </c>
      <c r="F628" s="17">
        <f>49.2*9</f>
        <v>442.8</v>
      </c>
      <c r="G628" s="127">
        <v>0.1</v>
      </c>
      <c r="H628" s="33">
        <f>F628*(1+G628)</f>
        <v>487.08000000000004</v>
      </c>
      <c r="I628" s="34" t="s">
        <v>18</v>
      </c>
      <c r="J628" s="204">
        <f>J$251</f>
        <v>0</v>
      </c>
      <c r="K628" s="205">
        <f>J628*H628</f>
        <v>0</v>
      </c>
      <c r="L628" s="206"/>
    </row>
    <row r="629" spans="1:12" s="187" customFormat="1" x14ac:dyDescent="0.2">
      <c r="A629" s="111">
        <f>IF(F629&lt;&gt;"",1+MAX($A$7:A628),"")</f>
        <v>227</v>
      </c>
      <c r="B629" s="2" t="s">
        <v>112</v>
      </c>
      <c r="C629" s="2" t="s">
        <v>111</v>
      </c>
      <c r="D629" s="212"/>
      <c r="E629" s="213" t="s">
        <v>123</v>
      </c>
      <c r="F629" s="17">
        <f>49.2*9</f>
        <v>442.8</v>
      </c>
      <c r="G629" s="127">
        <v>0.1</v>
      </c>
      <c r="H629" s="33">
        <f>F629*(1+G629)</f>
        <v>487.08000000000004</v>
      </c>
      <c r="I629" s="34" t="s">
        <v>18</v>
      </c>
      <c r="J629" s="204">
        <f>J$202</f>
        <v>0</v>
      </c>
      <c r="K629" s="205">
        <f>J629*H629</f>
        <v>0</v>
      </c>
      <c r="L629" s="206"/>
    </row>
    <row r="630" spans="1:12" s="187" customFormat="1" x14ac:dyDescent="0.2">
      <c r="A630" s="111" t="str">
        <f>IF(F630&lt;&gt;"",1+MAX($A$7:A629),"")</f>
        <v/>
      </c>
      <c r="B630" s="2"/>
      <c r="C630" s="2"/>
      <c r="D630" s="214"/>
      <c r="E630" s="213"/>
      <c r="F630" s="17"/>
      <c r="G630" s="127"/>
      <c r="H630" s="33"/>
      <c r="I630" s="34"/>
      <c r="J630" s="204"/>
      <c r="K630" s="205"/>
      <c r="L630" s="206"/>
    </row>
    <row r="631" spans="1:12" s="187" customFormat="1" x14ac:dyDescent="0.2">
      <c r="A631" s="111" t="str">
        <f>IF(F631&lt;&gt;"",1+MAX($A$7:A630),"")</f>
        <v/>
      </c>
      <c r="B631" s="207"/>
      <c r="C631" s="207"/>
      <c r="D631" s="201"/>
      <c r="E631" s="208" t="s">
        <v>128</v>
      </c>
      <c r="F631" s="203"/>
      <c r="G631" s="25"/>
      <c r="H631" s="209"/>
      <c r="I631" s="5"/>
      <c r="J631" s="210"/>
      <c r="K631" s="211"/>
      <c r="L631" s="206"/>
    </row>
    <row r="632" spans="1:12" s="187" customFormat="1" x14ac:dyDescent="0.2">
      <c r="A632" s="111">
        <f>IF(F632&lt;&gt;"",1+MAX($A$7:A631),"")</f>
        <v>228</v>
      </c>
      <c r="B632" s="2" t="s">
        <v>112</v>
      </c>
      <c r="C632" s="2" t="s">
        <v>111</v>
      </c>
      <c r="D632" s="212"/>
      <c r="E632" s="213" t="s">
        <v>122</v>
      </c>
      <c r="F632" s="17">
        <f>37.2*9</f>
        <v>334.8</v>
      </c>
      <c r="G632" s="127">
        <v>0.1</v>
      </c>
      <c r="H632" s="33">
        <f>F632*(1+G632)</f>
        <v>368.28000000000003</v>
      </c>
      <c r="I632" s="34" t="s">
        <v>18</v>
      </c>
      <c r="J632" s="204">
        <f>J$143</f>
        <v>0</v>
      </c>
      <c r="K632" s="205">
        <f>J632*H632</f>
        <v>0</v>
      </c>
      <c r="L632" s="206"/>
    </row>
    <row r="633" spans="1:12" s="187" customFormat="1" x14ac:dyDescent="0.2">
      <c r="A633" s="111" t="str">
        <f>IF(F633&lt;&gt;"",1+MAX($A$7:A632),"")</f>
        <v/>
      </c>
      <c r="B633" s="45"/>
      <c r="C633" s="45"/>
      <c r="D633" s="214"/>
      <c r="E633" s="215" t="s">
        <v>48</v>
      </c>
      <c r="F633" s="216"/>
      <c r="G633" s="217"/>
      <c r="H633" s="33">
        <f>ROUNDUP((H632)/32,0)</f>
        <v>12</v>
      </c>
      <c r="I633" s="34" t="s">
        <v>49</v>
      </c>
      <c r="J633" s="204"/>
      <c r="K633" s="205"/>
      <c r="L633" s="206"/>
    </row>
    <row r="634" spans="1:12" s="187" customFormat="1" x14ac:dyDescent="0.2">
      <c r="A634" s="111" t="str">
        <f>IF(F634&lt;&gt;"",1+MAX($A$7:A633),"")</f>
        <v/>
      </c>
      <c r="B634" s="45"/>
      <c r="C634" s="45"/>
      <c r="D634" s="214"/>
      <c r="E634" s="215" t="s">
        <v>50</v>
      </c>
      <c r="F634" s="216"/>
      <c r="G634" s="217"/>
      <c r="H634" s="33">
        <f>ROUNDUP(H633*24/500,0)</f>
        <v>1</v>
      </c>
      <c r="I634" s="34" t="s">
        <v>51</v>
      </c>
      <c r="J634" s="204"/>
      <c r="K634" s="205"/>
      <c r="L634" s="206"/>
    </row>
    <row r="635" spans="1:12" s="187" customFormat="1" x14ac:dyDescent="0.2">
      <c r="A635" s="111" t="str">
        <f>IF(F635&lt;&gt;"",1+MAX($A$7:A634),"")</f>
        <v/>
      </c>
      <c r="B635" s="45"/>
      <c r="C635" s="45"/>
      <c r="D635" s="214"/>
      <c r="E635" s="215" t="s">
        <v>52</v>
      </c>
      <c r="F635" s="216"/>
      <c r="G635" s="217"/>
      <c r="H635" s="218">
        <f>ROUNDUP((H632)/200,0)</f>
        <v>2</v>
      </c>
      <c r="I635" s="34" t="s">
        <v>53</v>
      </c>
      <c r="J635" s="204"/>
      <c r="K635" s="205"/>
      <c r="L635" s="206"/>
    </row>
    <row r="636" spans="1:12" s="187" customFormat="1" x14ac:dyDescent="0.2">
      <c r="A636" s="111" t="str">
        <f>IF(F636&lt;&gt;"",1+MAX($A$7:A635),"")</f>
        <v/>
      </c>
      <c r="B636" s="45"/>
      <c r="C636" s="45"/>
      <c r="D636" s="214"/>
      <c r="E636" s="215" t="s">
        <v>54</v>
      </c>
      <c r="F636" s="216"/>
      <c r="G636" s="217"/>
      <c r="H636" s="218">
        <f>ROUNDUP((H632)*5.25/1000,0)</f>
        <v>2</v>
      </c>
      <c r="I636" s="34" t="s">
        <v>55</v>
      </c>
      <c r="J636" s="204"/>
      <c r="K636" s="205"/>
      <c r="L636" s="206"/>
    </row>
    <row r="637" spans="1:12" s="187" customFormat="1" x14ac:dyDescent="0.2">
      <c r="A637" s="111">
        <f>IF(F637&lt;&gt;"",1+MAX($A$7:A636),"")</f>
        <v>229</v>
      </c>
      <c r="B637" s="2" t="s">
        <v>112</v>
      </c>
      <c r="C637" s="2" t="s">
        <v>111</v>
      </c>
      <c r="D637" s="212"/>
      <c r="E637" s="213" t="s">
        <v>108</v>
      </c>
      <c r="F637" s="17">
        <f>10.5*9</f>
        <v>94.5</v>
      </c>
      <c r="G637" s="127">
        <v>0.1</v>
      </c>
      <c r="H637" s="33">
        <f>F637*(1+G637)</f>
        <v>103.95</v>
      </c>
      <c r="I637" s="34" t="s">
        <v>18</v>
      </c>
      <c r="J637" s="204">
        <f>J$160</f>
        <v>0</v>
      </c>
      <c r="K637" s="205">
        <f>J637*H637</f>
        <v>0</v>
      </c>
      <c r="L637" s="206"/>
    </row>
    <row r="638" spans="1:12" s="187" customFormat="1" x14ac:dyDescent="0.2">
      <c r="A638" s="111" t="str">
        <f>IF(F638&lt;&gt;"",1+MAX($A$7:A637),"")</f>
        <v/>
      </c>
      <c r="B638" s="45"/>
      <c r="C638" s="45"/>
      <c r="D638" s="214"/>
      <c r="E638" s="215" t="s">
        <v>48</v>
      </c>
      <c r="F638" s="216"/>
      <c r="G638" s="217"/>
      <c r="H638" s="33">
        <f>ROUNDUP((H637)/32,0)</f>
        <v>4</v>
      </c>
      <c r="I638" s="34" t="s">
        <v>49</v>
      </c>
      <c r="J638" s="204"/>
      <c r="K638" s="205"/>
      <c r="L638" s="206"/>
    </row>
    <row r="639" spans="1:12" s="187" customFormat="1" x14ac:dyDescent="0.2">
      <c r="A639" s="111" t="str">
        <f>IF(F639&lt;&gt;"",1+MAX($A$7:A638),"")</f>
        <v/>
      </c>
      <c r="B639" s="45"/>
      <c r="C639" s="45"/>
      <c r="D639" s="214"/>
      <c r="E639" s="215" t="s">
        <v>50</v>
      </c>
      <c r="F639" s="216"/>
      <c r="G639" s="217"/>
      <c r="H639" s="33">
        <f>ROUNDUP(H638*24/500,0)</f>
        <v>1</v>
      </c>
      <c r="I639" s="34" t="s">
        <v>51</v>
      </c>
      <c r="J639" s="204"/>
      <c r="K639" s="205"/>
      <c r="L639" s="206"/>
    </row>
    <row r="640" spans="1:12" s="187" customFormat="1" x14ac:dyDescent="0.2">
      <c r="A640" s="111" t="str">
        <f>IF(F640&lt;&gt;"",1+MAX($A$7:A639),"")</f>
        <v/>
      </c>
      <c r="B640" s="45"/>
      <c r="C640" s="45"/>
      <c r="D640" s="214"/>
      <c r="E640" s="215" t="s">
        <v>52</v>
      </c>
      <c r="F640" s="216"/>
      <c r="G640" s="217"/>
      <c r="H640" s="218">
        <f>ROUNDUP((H637)/200,0)</f>
        <v>1</v>
      </c>
      <c r="I640" s="34" t="s">
        <v>53</v>
      </c>
      <c r="J640" s="204"/>
      <c r="K640" s="205"/>
      <c r="L640" s="206"/>
    </row>
    <row r="641" spans="1:12" s="187" customFormat="1" x14ac:dyDescent="0.2">
      <c r="A641" s="111" t="str">
        <f>IF(F641&lt;&gt;"",1+MAX($A$7:A640),"")</f>
        <v/>
      </c>
      <c r="B641" s="45"/>
      <c r="C641" s="45"/>
      <c r="D641" s="214"/>
      <c r="E641" s="215" t="s">
        <v>54</v>
      </c>
      <c r="F641" s="216"/>
      <c r="G641" s="217"/>
      <c r="H641" s="218">
        <f>ROUNDUP((H637)*5.25/1000,0)</f>
        <v>1</v>
      </c>
      <c r="I641" s="34" t="s">
        <v>55</v>
      </c>
      <c r="J641" s="204"/>
      <c r="K641" s="205"/>
      <c r="L641" s="206"/>
    </row>
    <row r="642" spans="1:12" s="187" customFormat="1" x14ac:dyDescent="0.2">
      <c r="A642" s="111">
        <f>IF(F642&lt;&gt;"",1+MAX($A$7:A641),"")</f>
        <v>230</v>
      </c>
      <c r="B642" s="2" t="s">
        <v>112</v>
      </c>
      <c r="C642" s="2" t="s">
        <v>111</v>
      </c>
      <c r="D642" s="214"/>
      <c r="E642" s="213" t="s">
        <v>109</v>
      </c>
      <c r="F642" s="17">
        <f>47.7*2</f>
        <v>95.4</v>
      </c>
      <c r="G642" s="127">
        <v>0.1</v>
      </c>
      <c r="H642" s="33">
        <f>F642*(1+G642)</f>
        <v>104.94000000000001</v>
      </c>
      <c r="I642" s="34" t="s">
        <v>15</v>
      </c>
      <c r="J642" s="204">
        <f>J$148</f>
        <v>0</v>
      </c>
      <c r="K642" s="205">
        <f>J642*H642</f>
        <v>0</v>
      </c>
      <c r="L642" s="206"/>
    </row>
    <row r="643" spans="1:12" s="187" customFormat="1" x14ac:dyDescent="0.2">
      <c r="A643" s="111">
        <f>IF(F643&lt;&gt;"",1+MAX($A$7:A642),"")</f>
        <v>231</v>
      </c>
      <c r="B643" s="2" t="s">
        <v>112</v>
      </c>
      <c r="C643" s="2" t="s">
        <v>111</v>
      </c>
      <c r="D643" s="212"/>
      <c r="E643" s="213" t="s">
        <v>118</v>
      </c>
      <c r="F643" s="17">
        <f>47.7*9</f>
        <v>429.3</v>
      </c>
      <c r="G643" s="127">
        <v>0.1</v>
      </c>
      <c r="H643" s="33">
        <f>F643*(1+G643)</f>
        <v>472.23000000000008</v>
      </c>
      <c r="I643" s="34" t="s">
        <v>18</v>
      </c>
      <c r="J643" s="204">
        <f>J$187</f>
        <v>0</v>
      </c>
      <c r="K643" s="205">
        <f>J643*H643</f>
        <v>0</v>
      </c>
      <c r="L643" s="206"/>
    </row>
    <row r="644" spans="1:12" s="187" customFormat="1" x14ac:dyDescent="0.2">
      <c r="A644" s="111">
        <f>IF(F644&lt;&gt;"",1+MAX($A$7:A643),"")</f>
        <v>232</v>
      </c>
      <c r="B644" s="2" t="s">
        <v>112</v>
      </c>
      <c r="C644" s="2" t="s">
        <v>111</v>
      </c>
      <c r="D644" s="212"/>
      <c r="E644" s="213" t="s">
        <v>123</v>
      </c>
      <c r="F644" s="17">
        <f>47.7*9</f>
        <v>429.3</v>
      </c>
      <c r="G644" s="127">
        <v>0.1</v>
      </c>
      <c r="H644" s="33">
        <f>F644*(1+G644)</f>
        <v>472.23000000000008</v>
      </c>
      <c r="I644" s="34" t="s">
        <v>18</v>
      </c>
      <c r="J644" s="204">
        <f>J$202</f>
        <v>0</v>
      </c>
      <c r="K644" s="205">
        <f>J644*H644</f>
        <v>0</v>
      </c>
      <c r="L644" s="206"/>
    </row>
    <row r="645" spans="1:12" s="187" customFormat="1" x14ac:dyDescent="0.2">
      <c r="A645" s="111" t="str">
        <f>IF(F645&lt;&gt;"",1+MAX($A$7:A644),"")</f>
        <v/>
      </c>
      <c r="B645" s="2"/>
      <c r="C645" s="2"/>
      <c r="D645" s="214"/>
      <c r="E645" s="213"/>
      <c r="F645" s="17"/>
      <c r="G645" s="127"/>
      <c r="H645" s="33"/>
      <c r="I645" s="34"/>
      <c r="J645" s="204"/>
      <c r="K645" s="205"/>
      <c r="L645" s="206"/>
    </row>
    <row r="646" spans="1:12" s="187" customFormat="1" x14ac:dyDescent="0.2">
      <c r="A646" s="111" t="str">
        <f>IF(F646&lt;&gt;"",1+MAX($A$7:A645),"")</f>
        <v/>
      </c>
      <c r="B646" s="207"/>
      <c r="C646" s="207"/>
      <c r="D646" s="201"/>
      <c r="E646" s="208" t="s">
        <v>129</v>
      </c>
      <c r="F646" s="203"/>
      <c r="G646" s="25"/>
      <c r="H646" s="209"/>
      <c r="I646" s="5"/>
      <c r="J646" s="210"/>
      <c r="K646" s="211"/>
      <c r="L646" s="206"/>
    </row>
    <row r="647" spans="1:12" s="187" customFormat="1" x14ac:dyDescent="0.2">
      <c r="A647" s="111">
        <f>IF(F647&lt;&gt;"",1+MAX($A$7:A646),"")</f>
        <v>233</v>
      </c>
      <c r="B647" s="2" t="s">
        <v>112</v>
      </c>
      <c r="C647" s="2" t="s">
        <v>111</v>
      </c>
      <c r="D647" s="212"/>
      <c r="E647" s="213" t="s">
        <v>122</v>
      </c>
      <c r="F647" s="17">
        <f>38.1*9</f>
        <v>342.90000000000003</v>
      </c>
      <c r="G647" s="127">
        <v>0.1</v>
      </c>
      <c r="H647" s="33">
        <f>F647*(1+G647)</f>
        <v>377.19000000000005</v>
      </c>
      <c r="I647" s="34" t="s">
        <v>18</v>
      </c>
      <c r="J647" s="204">
        <f>J$143</f>
        <v>0</v>
      </c>
      <c r="K647" s="205">
        <f>J647*H647</f>
        <v>0</v>
      </c>
      <c r="L647" s="206"/>
    </row>
    <row r="648" spans="1:12" s="187" customFormat="1" x14ac:dyDescent="0.2">
      <c r="A648" s="111" t="str">
        <f>IF(F648&lt;&gt;"",1+MAX($A$7:A647),"")</f>
        <v/>
      </c>
      <c r="B648" s="45"/>
      <c r="C648" s="45"/>
      <c r="D648" s="214"/>
      <c r="E648" s="215" t="s">
        <v>48</v>
      </c>
      <c r="F648" s="216"/>
      <c r="G648" s="217"/>
      <c r="H648" s="33">
        <f>ROUNDUP((H647)/32,0)</f>
        <v>12</v>
      </c>
      <c r="I648" s="34" t="s">
        <v>49</v>
      </c>
      <c r="J648" s="204"/>
      <c r="K648" s="205"/>
      <c r="L648" s="206"/>
    </row>
    <row r="649" spans="1:12" s="187" customFormat="1" x14ac:dyDescent="0.2">
      <c r="A649" s="111" t="str">
        <f>IF(F649&lt;&gt;"",1+MAX($A$7:A648),"")</f>
        <v/>
      </c>
      <c r="B649" s="45"/>
      <c r="C649" s="45"/>
      <c r="D649" s="214"/>
      <c r="E649" s="215" t="s">
        <v>50</v>
      </c>
      <c r="F649" s="216"/>
      <c r="G649" s="217"/>
      <c r="H649" s="33">
        <f>ROUNDUP(H648*24/500,0)</f>
        <v>1</v>
      </c>
      <c r="I649" s="34" t="s">
        <v>51</v>
      </c>
      <c r="J649" s="204"/>
      <c r="K649" s="205"/>
      <c r="L649" s="206"/>
    </row>
    <row r="650" spans="1:12" s="187" customFormat="1" x14ac:dyDescent="0.2">
      <c r="A650" s="111" t="str">
        <f>IF(F650&lt;&gt;"",1+MAX($A$7:A649),"")</f>
        <v/>
      </c>
      <c r="B650" s="45"/>
      <c r="C650" s="45"/>
      <c r="D650" s="214"/>
      <c r="E650" s="215" t="s">
        <v>52</v>
      </c>
      <c r="F650" s="216"/>
      <c r="G650" s="217"/>
      <c r="H650" s="218">
        <f>ROUNDUP((H647)/200,0)</f>
        <v>2</v>
      </c>
      <c r="I650" s="34" t="s">
        <v>53</v>
      </c>
      <c r="J650" s="204"/>
      <c r="K650" s="205"/>
      <c r="L650" s="206"/>
    </row>
    <row r="651" spans="1:12" s="187" customFormat="1" x14ac:dyDescent="0.2">
      <c r="A651" s="111" t="str">
        <f>IF(F651&lt;&gt;"",1+MAX($A$7:A650),"")</f>
        <v/>
      </c>
      <c r="B651" s="45"/>
      <c r="C651" s="45"/>
      <c r="D651" s="214"/>
      <c r="E651" s="215" t="s">
        <v>54</v>
      </c>
      <c r="F651" s="216"/>
      <c r="G651" s="217"/>
      <c r="H651" s="218">
        <f>ROUNDUP((H647)*5.25/1000,0)</f>
        <v>2</v>
      </c>
      <c r="I651" s="34" t="s">
        <v>55</v>
      </c>
      <c r="J651" s="204"/>
      <c r="K651" s="205"/>
      <c r="L651" s="206"/>
    </row>
    <row r="652" spans="1:12" s="187" customFormat="1" x14ac:dyDescent="0.2">
      <c r="A652" s="111">
        <f>IF(F652&lt;&gt;"",1+MAX($A$7:A651),"")</f>
        <v>234</v>
      </c>
      <c r="B652" s="2" t="s">
        <v>112</v>
      </c>
      <c r="C652" s="2" t="s">
        <v>111</v>
      </c>
      <c r="D652" s="212"/>
      <c r="E652" s="213" t="s">
        <v>108</v>
      </c>
      <c r="F652" s="17">
        <f>22*9</f>
        <v>198</v>
      </c>
      <c r="G652" s="127">
        <v>0.1</v>
      </c>
      <c r="H652" s="33">
        <f>F652*(1+G652)</f>
        <v>217.8</v>
      </c>
      <c r="I652" s="34" t="s">
        <v>18</v>
      </c>
      <c r="J652" s="204">
        <f>J$160</f>
        <v>0</v>
      </c>
      <c r="K652" s="205">
        <f>J652*H652</f>
        <v>0</v>
      </c>
      <c r="L652" s="206"/>
    </row>
    <row r="653" spans="1:12" s="187" customFormat="1" x14ac:dyDescent="0.2">
      <c r="A653" s="111" t="str">
        <f>IF(F653&lt;&gt;"",1+MAX($A$7:A652),"")</f>
        <v/>
      </c>
      <c r="B653" s="45"/>
      <c r="C653" s="45"/>
      <c r="D653" s="214"/>
      <c r="E653" s="215" t="s">
        <v>48</v>
      </c>
      <c r="F653" s="216"/>
      <c r="G653" s="217"/>
      <c r="H653" s="33">
        <f>ROUNDUP((H652)/32,0)</f>
        <v>7</v>
      </c>
      <c r="I653" s="34" t="s">
        <v>49</v>
      </c>
      <c r="J653" s="204"/>
      <c r="K653" s="205"/>
      <c r="L653" s="206"/>
    </row>
    <row r="654" spans="1:12" s="187" customFormat="1" x14ac:dyDescent="0.2">
      <c r="A654" s="111" t="str">
        <f>IF(F654&lt;&gt;"",1+MAX($A$7:A653),"")</f>
        <v/>
      </c>
      <c r="B654" s="45"/>
      <c r="C654" s="45"/>
      <c r="D654" s="214"/>
      <c r="E654" s="215" t="s">
        <v>50</v>
      </c>
      <c r="F654" s="216"/>
      <c r="G654" s="217"/>
      <c r="H654" s="33">
        <f>ROUNDUP(H653*24/500,0)</f>
        <v>1</v>
      </c>
      <c r="I654" s="34" t="s">
        <v>51</v>
      </c>
      <c r="J654" s="204"/>
      <c r="K654" s="205"/>
      <c r="L654" s="206"/>
    </row>
    <row r="655" spans="1:12" s="187" customFormat="1" x14ac:dyDescent="0.2">
      <c r="A655" s="111" t="str">
        <f>IF(F655&lt;&gt;"",1+MAX($A$7:A654),"")</f>
        <v/>
      </c>
      <c r="B655" s="45"/>
      <c r="C655" s="45"/>
      <c r="D655" s="214"/>
      <c r="E655" s="215" t="s">
        <v>52</v>
      </c>
      <c r="F655" s="216"/>
      <c r="G655" s="217"/>
      <c r="H655" s="218">
        <f>ROUNDUP((H652)/200,0)</f>
        <v>2</v>
      </c>
      <c r="I655" s="34" t="s">
        <v>53</v>
      </c>
      <c r="J655" s="204"/>
      <c r="K655" s="205"/>
      <c r="L655" s="206"/>
    </row>
    <row r="656" spans="1:12" s="187" customFormat="1" x14ac:dyDescent="0.2">
      <c r="A656" s="111" t="str">
        <f>IF(F656&lt;&gt;"",1+MAX($A$7:A655),"")</f>
        <v/>
      </c>
      <c r="B656" s="45"/>
      <c r="C656" s="45"/>
      <c r="D656" s="214"/>
      <c r="E656" s="215" t="s">
        <v>54</v>
      </c>
      <c r="F656" s="216"/>
      <c r="G656" s="217"/>
      <c r="H656" s="218">
        <f>ROUNDUP((H652)*5.25/1000,0)</f>
        <v>2</v>
      </c>
      <c r="I656" s="34" t="s">
        <v>55</v>
      </c>
      <c r="J656" s="204"/>
      <c r="K656" s="205"/>
      <c r="L656" s="206"/>
    </row>
    <row r="657" spans="1:12" s="187" customFormat="1" x14ac:dyDescent="0.2">
      <c r="A657" s="111">
        <f>IF(F657&lt;&gt;"",1+MAX($A$7:A656),"")</f>
        <v>235</v>
      </c>
      <c r="B657" s="2" t="s">
        <v>112</v>
      </c>
      <c r="C657" s="2" t="s">
        <v>111</v>
      </c>
      <c r="D657" s="214"/>
      <c r="E657" s="213" t="s">
        <v>109</v>
      </c>
      <c r="F657" s="17">
        <f>60.1*2</f>
        <v>120.2</v>
      </c>
      <c r="G657" s="127">
        <v>0.1</v>
      </c>
      <c r="H657" s="33">
        <f>F657*(1+G657)</f>
        <v>132.22000000000003</v>
      </c>
      <c r="I657" s="34" t="s">
        <v>15</v>
      </c>
      <c r="J657" s="204">
        <f>J$148</f>
        <v>0</v>
      </c>
      <c r="K657" s="205">
        <f>J657*H657</f>
        <v>0</v>
      </c>
      <c r="L657" s="206"/>
    </row>
    <row r="658" spans="1:12" s="187" customFormat="1" x14ac:dyDescent="0.2">
      <c r="A658" s="111">
        <f>IF(F658&lt;&gt;"",1+MAX($A$7:A657),"")</f>
        <v>236</v>
      </c>
      <c r="B658" s="2" t="s">
        <v>112</v>
      </c>
      <c r="C658" s="2" t="s">
        <v>111</v>
      </c>
      <c r="D658" s="212"/>
      <c r="E658" s="213" t="s">
        <v>484</v>
      </c>
      <c r="F658" s="17">
        <f>60.1*9</f>
        <v>540.9</v>
      </c>
      <c r="G658" s="127">
        <v>0.1</v>
      </c>
      <c r="H658" s="33">
        <f>F658*(1+G658)</f>
        <v>594.99</v>
      </c>
      <c r="I658" s="34" t="s">
        <v>18</v>
      </c>
      <c r="J658" s="204">
        <f>J$276</f>
        <v>0</v>
      </c>
      <c r="K658" s="205">
        <f>J658*H658</f>
        <v>0</v>
      </c>
      <c r="L658" s="206"/>
    </row>
    <row r="659" spans="1:12" s="187" customFormat="1" x14ac:dyDescent="0.2">
      <c r="A659" s="111">
        <f>IF(F659&lt;&gt;"",1+MAX($A$7:A658),"")</f>
        <v>237</v>
      </c>
      <c r="B659" s="2" t="s">
        <v>112</v>
      </c>
      <c r="C659" s="2" t="s">
        <v>111</v>
      </c>
      <c r="D659" s="212"/>
      <c r="E659" s="213" t="s">
        <v>123</v>
      </c>
      <c r="F659" s="17">
        <f>60.1*9</f>
        <v>540.9</v>
      </c>
      <c r="G659" s="127">
        <v>0.1</v>
      </c>
      <c r="H659" s="33">
        <f>F659*(1+G659)</f>
        <v>594.99</v>
      </c>
      <c r="I659" s="34" t="s">
        <v>18</v>
      </c>
      <c r="J659" s="204">
        <f>J$202</f>
        <v>0</v>
      </c>
      <c r="K659" s="205">
        <f>J659*H659</f>
        <v>0</v>
      </c>
      <c r="L659" s="206"/>
    </row>
    <row r="660" spans="1:12" s="187" customFormat="1" x14ac:dyDescent="0.2">
      <c r="A660" s="111" t="str">
        <f>IF(F660&lt;&gt;"",1+MAX($A$7:A659),"")</f>
        <v/>
      </c>
      <c r="B660" s="2"/>
      <c r="C660" s="2"/>
      <c r="D660" s="214"/>
      <c r="E660" s="213"/>
      <c r="F660" s="17"/>
      <c r="G660" s="127"/>
      <c r="H660" s="33"/>
      <c r="I660" s="34"/>
      <c r="J660" s="204"/>
      <c r="K660" s="205"/>
      <c r="L660" s="206"/>
    </row>
    <row r="661" spans="1:12" s="187" customFormat="1" x14ac:dyDescent="0.2">
      <c r="A661" s="111" t="str">
        <f>IF(F661&lt;&gt;"",1+MAX($A$7:A660),"")</f>
        <v/>
      </c>
      <c r="B661" s="207"/>
      <c r="C661" s="207"/>
      <c r="D661" s="201"/>
      <c r="E661" s="208" t="s">
        <v>130</v>
      </c>
      <c r="F661" s="203"/>
      <c r="G661" s="25"/>
      <c r="H661" s="209"/>
      <c r="I661" s="5"/>
      <c r="J661" s="210"/>
      <c r="K661" s="211"/>
      <c r="L661" s="206"/>
    </row>
    <row r="662" spans="1:12" s="187" customFormat="1" ht="31.5" x14ac:dyDescent="0.2">
      <c r="A662" s="111">
        <f>IF(F662&lt;&gt;"",1+MAX($A$7:A661),"")</f>
        <v>238</v>
      </c>
      <c r="B662" s="2" t="s">
        <v>112</v>
      </c>
      <c r="C662" s="2" t="s">
        <v>111</v>
      </c>
      <c r="D662" s="212"/>
      <c r="E662" s="213" t="s">
        <v>72</v>
      </c>
      <c r="F662" s="17">
        <f>(65+27.1)*9*2*2</f>
        <v>3315.6</v>
      </c>
      <c r="G662" s="127">
        <v>0.1</v>
      </c>
      <c r="H662" s="33">
        <f>F662*(1+G662)</f>
        <v>3647.1600000000003</v>
      </c>
      <c r="I662" s="34" t="s">
        <v>18</v>
      </c>
      <c r="J662" s="204">
        <f>J$143</f>
        <v>0</v>
      </c>
      <c r="K662" s="205">
        <f>J662*H662</f>
        <v>0</v>
      </c>
      <c r="L662" s="206"/>
    </row>
    <row r="663" spans="1:12" s="187" customFormat="1" x14ac:dyDescent="0.2">
      <c r="A663" s="111" t="str">
        <f>IF(F663&lt;&gt;"",1+MAX($A$7:A662),"")</f>
        <v/>
      </c>
      <c r="B663" s="45"/>
      <c r="C663" s="45"/>
      <c r="D663" s="214"/>
      <c r="E663" s="215" t="s">
        <v>48</v>
      </c>
      <c r="F663" s="216"/>
      <c r="G663" s="217"/>
      <c r="H663" s="33">
        <f>ROUNDUP((H662)/32,0)</f>
        <v>114</v>
      </c>
      <c r="I663" s="34" t="s">
        <v>49</v>
      </c>
      <c r="J663" s="204"/>
      <c r="K663" s="205"/>
      <c r="L663" s="206"/>
    </row>
    <row r="664" spans="1:12" s="187" customFormat="1" x14ac:dyDescent="0.2">
      <c r="A664" s="111" t="str">
        <f>IF(F664&lt;&gt;"",1+MAX($A$7:A663),"")</f>
        <v/>
      </c>
      <c r="B664" s="45"/>
      <c r="C664" s="45"/>
      <c r="D664" s="214"/>
      <c r="E664" s="215" t="s">
        <v>50</v>
      </c>
      <c r="F664" s="216"/>
      <c r="G664" s="217"/>
      <c r="H664" s="33">
        <f>ROUNDUP(H663*24/500,0)</f>
        <v>6</v>
      </c>
      <c r="I664" s="34" t="s">
        <v>51</v>
      </c>
      <c r="J664" s="204"/>
      <c r="K664" s="205"/>
      <c r="L664" s="206"/>
    </row>
    <row r="665" spans="1:12" s="187" customFormat="1" x14ac:dyDescent="0.2">
      <c r="A665" s="111" t="str">
        <f>IF(F665&lt;&gt;"",1+MAX($A$7:A664),"")</f>
        <v/>
      </c>
      <c r="B665" s="45"/>
      <c r="C665" s="45"/>
      <c r="D665" s="214"/>
      <c r="E665" s="215" t="s">
        <v>52</v>
      </c>
      <c r="F665" s="216"/>
      <c r="G665" s="217"/>
      <c r="H665" s="218">
        <f>ROUNDUP((H662)/200,0)</f>
        <v>19</v>
      </c>
      <c r="I665" s="34" t="s">
        <v>53</v>
      </c>
      <c r="J665" s="204"/>
      <c r="K665" s="205"/>
      <c r="L665" s="206"/>
    </row>
    <row r="666" spans="1:12" s="187" customFormat="1" x14ac:dyDescent="0.2">
      <c r="A666" s="111" t="str">
        <f>IF(F666&lt;&gt;"",1+MAX($A$7:A665),"")</f>
        <v/>
      </c>
      <c r="B666" s="45"/>
      <c r="C666" s="45"/>
      <c r="D666" s="214"/>
      <c r="E666" s="215" t="s">
        <v>54</v>
      </c>
      <c r="F666" s="216"/>
      <c r="G666" s="217"/>
      <c r="H666" s="218">
        <f>ROUNDUP((H662)*5.25/1000,0)</f>
        <v>20</v>
      </c>
      <c r="I666" s="34" t="s">
        <v>55</v>
      </c>
      <c r="J666" s="204"/>
      <c r="K666" s="205"/>
      <c r="L666" s="206"/>
    </row>
    <row r="667" spans="1:12" s="187" customFormat="1" x14ac:dyDescent="0.2">
      <c r="A667" s="111">
        <f>IF(F667&lt;&gt;"",1+MAX($A$7:A666),"")</f>
        <v>239</v>
      </c>
      <c r="B667" s="2" t="s">
        <v>112</v>
      </c>
      <c r="C667" s="2" t="s">
        <v>111</v>
      </c>
      <c r="D667" s="214"/>
      <c r="E667" s="213" t="s">
        <v>109</v>
      </c>
      <c r="F667" s="17">
        <f>(65+27.1)*4</f>
        <v>368.4</v>
      </c>
      <c r="G667" s="127">
        <v>0.1</v>
      </c>
      <c r="H667" s="33">
        <f>F667*(1+G667)</f>
        <v>405.24</v>
      </c>
      <c r="I667" s="34" t="s">
        <v>15</v>
      </c>
      <c r="J667" s="204">
        <f>J$148</f>
        <v>0</v>
      </c>
      <c r="K667" s="205">
        <f>J667*H667</f>
        <v>0</v>
      </c>
      <c r="L667" s="206"/>
    </row>
    <row r="668" spans="1:12" s="187" customFormat="1" x14ac:dyDescent="0.2">
      <c r="A668" s="111">
        <f>IF(F668&lt;&gt;"",1+MAX($A$7:A667),"")</f>
        <v>240</v>
      </c>
      <c r="B668" s="2" t="s">
        <v>112</v>
      </c>
      <c r="C668" s="2" t="s">
        <v>111</v>
      </c>
      <c r="D668" s="212"/>
      <c r="E668" s="213" t="s">
        <v>118</v>
      </c>
      <c r="F668" s="17">
        <f>(65+27.1)*9</f>
        <v>828.9</v>
      </c>
      <c r="G668" s="127">
        <v>0.1</v>
      </c>
      <c r="H668" s="33">
        <f>F668*(1+G668)</f>
        <v>911.79000000000008</v>
      </c>
      <c r="I668" s="34" t="s">
        <v>18</v>
      </c>
      <c r="J668" s="204">
        <f>J$187</f>
        <v>0</v>
      </c>
      <c r="K668" s="205">
        <f>J668*H668</f>
        <v>0</v>
      </c>
      <c r="L668" s="206"/>
    </row>
    <row r="669" spans="1:12" s="187" customFormat="1" x14ac:dyDescent="0.2">
      <c r="A669" s="111">
        <f>IF(F669&lt;&gt;"",1+MAX($A$7:A668),"")</f>
        <v>241</v>
      </c>
      <c r="B669" s="2" t="s">
        <v>112</v>
      </c>
      <c r="C669" s="2" t="s">
        <v>111</v>
      </c>
      <c r="D669" s="212"/>
      <c r="E669" s="213" t="s">
        <v>123</v>
      </c>
      <c r="F669" s="17">
        <f>(65+27.1)*9</f>
        <v>828.9</v>
      </c>
      <c r="G669" s="127">
        <v>0.1</v>
      </c>
      <c r="H669" s="33">
        <f>F669*(1+G669)</f>
        <v>911.79000000000008</v>
      </c>
      <c r="I669" s="34" t="s">
        <v>18</v>
      </c>
      <c r="J669" s="204">
        <f>J$202</f>
        <v>0</v>
      </c>
      <c r="K669" s="205">
        <f>J669*H669</f>
        <v>0</v>
      </c>
      <c r="L669" s="206"/>
    </row>
    <row r="670" spans="1:12" s="187" customFormat="1" x14ac:dyDescent="0.2">
      <c r="A670" s="111" t="str">
        <f>IF(F670&lt;&gt;"",1+MAX($A$7:A669),"")</f>
        <v/>
      </c>
      <c r="B670" s="2"/>
      <c r="C670" s="2"/>
      <c r="D670" s="214"/>
      <c r="E670" s="213"/>
      <c r="F670" s="17"/>
      <c r="G670" s="127"/>
      <c r="H670" s="33"/>
      <c r="I670" s="34"/>
      <c r="J670" s="204"/>
      <c r="K670" s="205"/>
      <c r="L670" s="206"/>
    </row>
    <row r="671" spans="1:12" s="187" customFormat="1" x14ac:dyDescent="0.2">
      <c r="A671" s="111" t="str">
        <f>IF(F671&lt;&gt;"",1+MAX($A$7:A670),"")</f>
        <v/>
      </c>
      <c r="B671" s="207"/>
      <c r="C671" s="207"/>
      <c r="D671" s="201"/>
      <c r="E671" s="208" t="s">
        <v>131</v>
      </c>
      <c r="F671" s="203"/>
      <c r="G671" s="25"/>
      <c r="H671" s="209"/>
      <c r="I671" s="5"/>
      <c r="J671" s="210"/>
      <c r="K671" s="211"/>
      <c r="L671" s="206"/>
    </row>
    <row r="672" spans="1:12" s="187" customFormat="1" ht="31.5" x14ac:dyDescent="0.2">
      <c r="A672" s="111">
        <f>IF(F672&lt;&gt;"",1+MAX($A$7:A671),"")</f>
        <v>242</v>
      </c>
      <c r="B672" s="2" t="s">
        <v>112</v>
      </c>
      <c r="C672" s="2" t="s">
        <v>111</v>
      </c>
      <c r="D672" s="212"/>
      <c r="E672" s="213" t="s">
        <v>72</v>
      </c>
      <c r="F672" s="17">
        <f>8*9*3</f>
        <v>216</v>
      </c>
      <c r="G672" s="127">
        <v>0.1</v>
      </c>
      <c r="H672" s="33">
        <f>F672*(1+G672)</f>
        <v>237.60000000000002</v>
      </c>
      <c r="I672" s="34" t="s">
        <v>18</v>
      </c>
      <c r="J672" s="204">
        <f>J$143</f>
        <v>0</v>
      </c>
      <c r="K672" s="205">
        <f>J672*H672</f>
        <v>0</v>
      </c>
      <c r="L672" s="206"/>
    </row>
    <row r="673" spans="1:12" s="187" customFormat="1" x14ac:dyDescent="0.2">
      <c r="A673" s="111" t="str">
        <f>IF(F673&lt;&gt;"",1+MAX($A$7:A672),"")</f>
        <v/>
      </c>
      <c r="B673" s="45"/>
      <c r="C673" s="45"/>
      <c r="D673" s="214"/>
      <c r="E673" s="215" t="s">
        <v>48</v>
      </c>
      <c r="F673" s="216"/>
      <c r="G673" s="217"/>
      <c r="H673" s="33">
        <f>ROUNDUP((H672)/32,0)</f>
        <v>8</v>
      </c>
      <c r="I673" s="34" t="s">
        <v>49</v>
      </c>
      <c r="J673" s="204"/>
      <c r="K673" s="205"/>
      <c r="L673" s="206"/>
    </row>
    <row r="674" spans="1:12" s="187" customFormat="1" x14ac:dyDescent="0.2">
      <c r="A674" s="111" t="str">
        <f>IF(F674&lt;&gt;"",1+MAX($A$7:A673),"")</f>
        <v/>
      </c>
      <c r="B674" s="45"/>
      <c r="C674" s="45"/>
      <c r="D674" s="214"/>
      <c r="E674" s="215" t="s">
        <v>50</v>
      </c>
      <c r="F674" s="216"/>
      <c r="G674" s="217"/>
      <c r="H674" s="33">
        <f>ROUNDUP(H673*24/500,0)</f>
        <v>1</v>
      </c>
      <c r="I674" s="34" t="s">
        <v>51</v>
      </c>
      <c r="J674" s="204"/>
      <c r="K674" s="205"/>
      <c r="L674" s="206"/>
    </row>
    <row r="675" spans="1:12" s="187" customFormat="1" x14ac:dyDescent="0.2">
      <c r="A675" s="111" t="str">
        <f>IF(F675&lt;&gt;"",1+MAX($A$7:A674),"")</f>
        <v/>
      </c>
      <c r="B675" s="45"/>
      <c r="C675" s="45"/>
      <c r="D675" s="214"/>
      <c r="E675" s="215" t="s">
        <v>52</v>
      </c>
      <c r="F675" s="216"/>
      <c r="G675" s="217"/>
      <c r="H675" s="218">
        <f>ROUNDUP((H672)/200,0)</f>
        <v>2</v>
      </c>
      <c r="I675" s="34" t="s">
        <v>53</v>
      </c>
      <c r="J675" s="204"/>
      <c r="K675" s="205"/>
      <c r="L675" s="206"/>
    </row>
    <row r="676" spans="1:12" s="187" customFormat="1" x14ac:dyDescent="0.2">
      <c r="A676" s="111" t="str">
        <f>IF(F676&lt;&gt;"",1+MAX($A$7:A675),"")</f>
        <v/>
      </c>
      <c r="B676" s="45"/>
      <c r="C676" s="45"/>
      <c r="D676" s="214"/>
      <c r="E676" s="215" t="s">
        <v>54</v>
      </c>
      <c r="F676" s="216"/>
      <c r="G676" s="217"/>
      <c r="H676" s="218">
        <f>ROUNDUP((H672)*5.25/1000,0)</f>
        <v>2</v>
      </c>
      <c r="I676" s="34" t="s">
        <v>55</v>
      </c>
      <c r="J676" s="204"/>
      <c r="K676" s="205"/>
      <c r="L676" s="206"/>
    </row>
    <row r="677" spans="1:12" s="187" customFormat="1" x14ac:dyDescent="0.2">
      <c r="A677" s="111">
        <f>IF(F677&lt;&gt;"",1+MAX($A$7:A676),"")</f>
        <v>243</v>
      </c>
      <c r="B677" s="2" t="s">
        <v>112</v>
      </c>
      <c r="C677" s="2" t="s">
        <v>111</v>
      </c>
      <c r="D677" s="212"/>
      <c r="E677" s="213" t="s">
        <v>108</v>
      </c>
      <c r="F677" s="17">
        <f>8*9</f>
        <v>72</v>
      </c>
      <c r="G677" s="127">
        <v>0.1</v>
      </c>
      <c r="H677" s="33">
        <f>F677*(1+G677)</f>
        <v>79.2</v>
      </c>
      <c r="I677" s="34" t="s">
        <v>18</v>
      </c>
      <c r="J677" s="204">
        <f>J$160</f>
        <v>0</v>
      </c>
      <c r="K677" s="205">
        <f>J677*H677</f>
        <v>0</v>
      </c>
      <c r="L677" s="206"/>
    </row>
    <row r="678" spans="1:12" s="187" customFormat="1" x14ac:dyDescent="0.2">
      <c r="A678" s="111" t="str">
        <f>IF(F678&lt;&gt;"",1+MAX($A$7:A677),"")</f>
        <v/>
      </c>
      <c r="B678" s="45"/>
      <c r="C678" s="45"/>
      <c r="D678" s="214"/>
      <c r="E678" s="215" t="s">
        <v>48</v>
      </c>
      <c r="F678" s="216"/>
      <c r="G678" s="217"/>
      <c r="H678" s="33">
        <f>ROUNDUP((H677)/32,0)</f>
        <v>3</v>
      </c>
      <c r="I678" s="34" t="s">
        <v>49</v>
      </c>
      <c r="J678" s="204"/>
      <c r="K678" s="205"/>
      <c r="L678" s="206"/>
    </row>
    <row r="679" spans="1:12" s="187" customFormat="1" x14ac:dyDescent="0.2">
      <c r="A679" s="111" t="str">
        <f>IF(F679&lt;&gt;"",1+MAX($A$7:A678),"")</f>
        <v/>
      </c>
      <c r="B679" s="45"/>
      <c r="C679" s="45"/>
      <c r="D679" s="214"/>
      <c r="E679" s="215" t="s">
        <v>50</v>
      </c>
      <c r="F679" s="216"/>
      <c r="G679" s="217"/>
      <c r="H679" s="33">
        <f>ROUNDUP(H678*24/500,0)</f>
        <v>1</v>
      </c>
      <c r="I679" s="34" t="s">
        <v>51</v>
      </c>
      <c r="J679" s="204"/>
      <c r="K679" s="205"/>
      <c r="L679" s="206"/>
    </row>
    <row r="680" spans="1:12" s="187" customFormat="1" x14ac:dyDescent="0.2">
      <c r="A680" s="111" t="str">
        <f>IF(F680&lt;&gt;"",1+MAX($A$7:A679),"")</f>
        <v/>
      </c>
      <c r="B680" s="45"/>
      <c r="C680" s="45"/>
      <c r="D680" s="214"/>
      <c r="E680" s="215" t="s">
        <v>52</v>
      </c>
      <c r="F680" s="216"/>
      <c r="G680" s="217"/>
      <c r="H680" s="218">
        <f>ROUNDUP((H677)/200,0)</f>
        <v>1</v>
      </c>
      <c r="I680" s="34" t="s">
        <v>53</v>
      </c>
      <c r="J680" s="204"/>
      <c r="K680" s="205"/>
      <c r="L680" s="206"/>
    </row>
    <row r="681" spans="1:12" s="187" customFormat="1" x14ac:dyDescent="0.2">
      <c r="A681" s="111" t="str">
        <f>IF(F681&lt;&gt;"",1+MAX($A$7:A680),"")</f>
        <v/>
      </c>
      <c r="B681" s="45"/>
      <c r="C681" s="45"/>
      <c r="D681" s="214"/>
      <c r="E681" s="215" t="s">
        <v>54</v>
      </c>
      <c r="F681" s="216"/>
      <c r="G681" s="217"/>
      <c r="H681" s="218">
        <f>ROUNDUP((H677)*5.25/1000,0)</f>
        <v>1</v>
      </c>
      <c r="I681" s="34" t="s">
        <v>55</v>
      </c>
      <c r="J681" s="204"/>
      <c r="K681" s="205"/>
      <c r="L681" s="206"/>
    </row>
    <row r="682" spans="1:12" s="187" customFormat="1" x14ac:dyDescent="0.2">
      <c r="A682" s="111">
        <f>IF(F682&lt;&gt;"",1+MAX($A$7:A681),"")</f>
        <v>244</v>
      </c>
      <c r="B682" s="2" t="s">
        <v>112</v>
      </c>
      <c r="C682" s="2" t="s">
        <v>111</v>
      </c>
      <c r="D682" s="214"/>
      <c r="E682" s="213" t="s">
        <v>109</v>
      </c>
      <c r="F682" s="17">
        <f>8*4</f>
        <v>32</v>
      </c>
      <c r="G682" s="127">
        <v>0.1</v>
      </c>
      <c r="H682" s="33">
        <f>F682*(1+G682)</f>
        <v>35.200000000000003</v>
      </c>
      <c r="I682" s="34" t="s">
        <v>15</v>
      </c>
      <c r="J682" s="204">
        <f>J$148</f>
        <v>0</v>
      </c>
      <c r="K682" s="205">
        <f>J682*H682</f>
        <v>0</v>
      </c>
      <c r="L682" s="206"/>
    </row>
    <row r="683" spans="1:12" s="187" customFormat="1" x14ac:dyDescent="0.2">
      <c r="A683" s="111">
        <f>IF(F683&lt;&gt;"",1+MAX($A$7:A682),"")</f>
        <v>245</v>
      </c>
      <c r="B683" s="2" t="s">
        <v>112</v>
      </c>
      <c r="C683" s="2" t="s">
        <v>111</v>
      </c>
      <c r="D683" s="212"/>
      <c r="E683" s="213" t="s">
        <v>119</v>
      </c>
      <c r="F683" s="17">
        <f>8*9</f>
        <v>72</v>
      </c>
      <c r="G683" s="127">
        <v>0.1</v>
      </c>
      <c r="H683" s="33">
        <f>F683*(1+G683)</f>
        <v>79.2</v>
      </c>
      <c r="I683" s="34" t="s">
        <v>18</v>
      </c>
      <c r="J683" s="204">
        <f>J$226</f>
        <v>0</v>
      </c>
      <c r="K683" s="205">
        <f>J683*H683</f>
        <v>0</v>
      </c>
      <c r="L683" s="206"/>
    </row>
    <row r="684" spans="1:12" s="187" customFormat="1" x14ac:dyDescent="0.2">
      <c r="A684" s="111">
        <f>IF(F684&lt;&gt;"",1+MAX($A$7:A683),"")</f>
        <v>246</v>
      </c>
      <c r="B684" s="2" t="s">
        <v>112</v>
      </c>
      <c r="C684" s="2" t="s">
        <v>111</v>
      </c>
      <c r="D684" s="212"/>
      <c r="E684" s="213" t="s">
        <v>123</v>
      </c>
      <c r="F684" s="17">
        <f>8*9</f>
        <v>72</v>
      </c>
      <c r="G684" s="127">
        <v>0.1</v>
      </c>
      <c r="H684" s="33">
        <f>F684*(1+G684)</f>
        <v>79.2</v>
      </c>
      <c r="I684" s="34" t="s">
        <v>18</v>
      </c>
      <c r="J684" s="204">
        <f>J$202</f>
        <v>0</v>
      </c>
      <c r="K684" s="205">
        <f>J684*H684</f>
        <v>0</v>
      </c>
      <c r="L684" s="206"/>
    </row>
    <row r="685" spans="1:12" s="187" customFormat="1" x14ac:dyDescent="0.2">
      <c r="A685" s="111" t="str">
        <f>IF(F685&lt;&gt;"",1+MAX($A$7:A684),"")</f>
        <v/>
      </c>
      <c r="B685" s="2"/>
      <c r="C685" s="2"/>
      <c r="D685" s="214"/>
      <c r="E685" s="213"/>
      <c r="F685" s="17"/>
      <c r="G685" s="127"/>
      <c r="H685" s="33"/>
      <c r="I685" s="34"/>
      <c r="J685" s="204"/>
      <c r="K685" s="205"/>
      <c r="L685" s="206"/>
    </row>
    <row r="686" spans="1:12" s="187" customFormat="1" x14ac:dyDescent="0.2">
      <c r="A686" s="111" t="str">
        <f>IF(F686&lt;&gt;"",1+MAX($A$7:A685),"")</f>
        <v/>
      </c>
      <c r="B686" s="207"/>
      <c r="C686" s="207"/>
      <c r="D686" s="201"/>
      <c r="E686" s="208" t="s">
        <v>139</v>
      </c>
      <c r="F686" s="203"/>
      <c r="G686" s="25"/>
      <c r="H686" s="209"/>
      <c r="I686" s="5"/>
      <c r="J686" s="210"/>
      <c r="K686" s="211"/>
      <c r="L686" s="206"/>
    </row>
    <row r="687" spans="1:12" s="187" customFormat="1" x14ac:dyDescent="0.2">
      <c r="A687" s="111">
        <f>IF(F687&lt;&gt;"",1+MAX($A$7:A686),"")</f>
        <v>247</v>
      </c>
      <c r="B687" s="2" t="s">
        <v>112</v>
      </c>
      <c r="C687" s="2" t="s">
        <v>111</v>
      </c>
      <c r="D687" s="212"/>
      <c r="E687" s="213" t="s">
        <v>107</v>
      </c>
      <c r="F687" s="17">
        <f>28.4*9*2</f>
        <v>511.2</v>
      </c>
      <c r="G687" s="127">
        <v>0.1</v>
      </c>
      <c r="H687" s="33">
        <f>F687*(1+G687)</f>
        <v>562.32000000000005</v>
      </c>
      <c r="I687" s="34" t="s">
        <v>18</v>
      </c>
      <c r="J687" s="204">
        <f>J$143</f>
        <v>0</v>
      </c>
      <c r="K687" s="205">
        <f>J687*H687</f>
        <v>0</v>
      </c>
      <c r="L687" s="206"/>
    </row>
    <row r="688" spans="1:12" s="187" customFormat="1" x14ac:dyDescent="0.2">
      <c r="A688" s="111" t="str">
        <f>IF(F688&lt;&gt;"",1+MAX($A$7:A687),"")</f>
        <v/>
      </c>
      <c r="B688" s="45"/>
      <c r="C688" s="45"/>
      <c r="D688" s="214"/>
      <c r="E688" s="215" t="s">
        <v>48</v>
      </c>
      <c r="F688" s="216"/>
      <c r="G688" s="217"/>
      <c r="H688" s="33">
        <f>ROUNDUP((H687)/32,0)</f>
        <v>18</v>
      </c>
      <c r="I688" s="34" t="s">
        <v>49</v>
      </c>
      <c r="J688" s="204"/>
      <c r="K688" s="205"/>
      <c r="L688" s="206"/>
    </row>
    <row r="689" spans="1:12" s="187" customFormat="1" x14ac:dyDescent="0.2">
      <c r="A689" s="111" t="str">
        <f>IF(F689&lt;&gt;"",1+MAX($A$7:A688),"")</f>
        <v/>
      </c>
      <c r="B689" s="45"/>
      <c r="C689" s="45"/>
      <c r="D689" s="214"/>
      <c r="E689" s="215" t="s">
        <v>50</v>
      </c>
      <c r="F689" s="216"/>
      <c r="G689" s="217"/>
      <c r="H689" s="33">
        <f>ROUNDUP(H688*24/500,0)</f>
        <v>1</v>
      </c>
      <c r="I689" s="34" t="s">
        <v>51</v>
      </c>
      <c r="J689" s="204"/>
      <c r="K689" s="205"/>
      <c r="L689" s="206"/>
    </row>
    <row r="690" spans="1:12" s="187" customFormat="1" x14ac:dyDescent="0.2">
      <c r="A690" s="111" t="str">
        <f>IF(F690&lt;&gt;"",1+MAX($A$7:A689),"")</f>
        <v/>
      </c>
      <c r="B690" s="45"/>
      <c r="C690" s="45"/>
      <c r="D690" s="214"/>
      <c r="E690" s="215" t="s">
        <v>52</v>
      </c>
      <c r="F690" s="216"/>
      <c r="G690" s="217"/>
      <c r="H690" s="218">
        <f>ROUNDUP((H687)/200,0)</f>
        <v>3</v>
      </c>
      <c r="I690" s="34" t="s">
        <v>53</v>
      </c>
      <c r="J690" s="204"/>
      <c r="K690" s="205"/>
      <c r="L690" s="206"/>
    </row>
    <row r="691" spans="1:12" s="187" customFormat="1" x14ac:dyDescent="0.2">
      <c r="A691" s="111" t="str">
        <f>IF(F691&lt;&gt;"",1+MAX($A$7:A690),"")</f>
        <v/>
      </c>
      <c r="B691" s="45"/>
      <c r="C691" s="45"/>
      <c r="D691" s="214"/>
      <c r="E691" s="215" t="s">
        <v>54</v>
      </c>
      <c r="F691" s="216"/>
      <c r="G691" s="217"/>
      <c r="H691" s="218">
        <f>ROUNDUP((H687)*5.25/1000,0)</f>
        <v>3</v>
      </c>
      <c r="I691" s="34" t="s">
        <v>55</v>
      </c>
      <c r="J691" s="204"/>
      <c r="K691" s="205"/>
      <c r="L691" s="206"/>
    </row>
    <row r="692" spans="1:12" s="187" customFormat="1" x14ac:dyDescent="0.2">
      <c r="A692" s="111">
        <f>IF(F692&lt;&gt;"",1+MAX($A$7:A691),"")</f>
        <v>248</v>
      </c>
      <c r="B692" s="2" t="s">
        <v>112</v>
      </c>
      <c r="C692" s="2" t="s">
        <v>111</v>
      </c>
      <c r="D692" s="214"/>
      <c r="E692" s="213" t="s">
        <v>109</v>
      </c>
      <c r="F692" s="17">
        <f>28.4*4</f>
        <v>113.6</v>
      </c>
      <c r="G692" s="127">
        <v>0.1</v>
      </c>
      <c r="H692" s="33">
        <f>F692*(1+G692)</f>
        <v>124.96000000000001</v>
      </c>
      <c r="I692" s="34" t="s">
        <v>15</v>
      </c>
      <c r="J692" s="204">
        <f>J$148</f>
        <v>0</v>
      </c>
      <c r="K692" s="205">
        <f>J692*H692</f>
        <v>0</v>
      </c>
      <c r="L692" s="206"/>
    </row>
    <row r="693" spans="1:12" s="187" customFormat="1" x14ac:dyDescent="0.2">
      <c r="A693" s="111">
        <f>IF(F693&lt;&gt;"",1+MAX($A$7:A692),"")</f>
        <v>249</v>
      </c>
      <c r="B693" s="2" t="s">
        <v>112</v>
      </c>
      <c r="C693" s="2" t="s">
        <v>111</v>
      </c>
      <c r="D693" s="212"/>
      <c r="E693" s="213" t="s">
        <v>484</v>
      </c>
      <c r="F693" s="17">
        <f>28.4*9</f>
        <v>255.6</v>
      </c>
      <c r="G693" s="127">
        <v>0.1</v>
      </c>
      <c r="H693" s="33">
        <f>F693*(1+G693)</f>
        <v>281.16000000000003</v>
      </c>
      <c r="I693" s="34" t="s">
        <v>18</v>
      </c>
      <c r="J693" s="204">
        <f>J$276</f>
        <v>0</v>
      </c>
      <c r="K693" s="205">
        <f>J693*H693</f>
        <v>0</v>
      </c>
      <c r="L693" s="206"/>
    </row>
    <row r="694" spans="1:12" s="187" customFormat="1" x14ac:dyDescent="0.2">
      <c r="A694" s="111">
        <f>IF(F694&lt;&gt;"",1+MAX($A$7:A693),"")</f>
        <v>250</v>
      </c>
      <c r="B694" s="2" t="s">
        <v>112</v>
      </c>
      <c r="C694" s="2" t="s">
        <v>111</v>
      </c>
      <c r="D694" s="212"/>
      <c r="E694" s="213" t="s">
        <v>123</v>
      </c>
      <c r="F694" s="17">
        <f>28.4*9</f>
        <v>255.6</v>
      </c>
      <c r="G694" s="127">
        <v>0.1</v>
      </c>
      <c r="H694" s="33">
        <f>F694*(1+G694)</f>
        <v>281.16000000000003</v>
      </c>
      <c r="I694" s="34" t="s">
        <v>18</v>
      </c>
      <c r="J694" s="204">
        <f>J$202</f>
        <v>0</v>
      </c>
      <c r="K694" s="205">
        <f>J694*H694</f>
        <v>0</v>
      </c>
      <c r="L694" s="206"/>
    </row>
    <row r="695" spans="1:12" s="187" customFormat="1" x14ac:dyDescent="0.2">
      <c r="A695" s="111" t="str">
        <f>IF(F695&lt;&gt;"",1+MAX($A$7:A694),"")</f>
        <v/>
      </c>
      <c r="B695" s="2"/>
      <c r="C695" s="2"/>
      <c r="D695" s="214"/>
      <c r="E695" s="213"/>
      <c r="F695" s="17"/>
      <c r="G695" s="127"/>
      <c r="H695" s="33"/>
      <c r="I695" s="34"/>
      <c r="J695" s="204"/>
      <c r="K695" s="205"/>
      <c r="L695" s="206"/>
    </row>
    <row r="696" spans="1:12" s="187" customFormat="1" x14ac:dyDescent="0.2">
      <c r="A696" s="111" t="str">
        <f>IF(F696&lt;&gt;"",1+MAX($A$7:A695),"")</f>
        <v/>
      </c>
      <c r="B696" s="207"/>
      <c r="C696" s="207"/>
      <c r="D696" s="201"/>
      <c r="E696" s="208" t="s">
        <v>142</v>
      </c>
      <c r="F696" s="203"/>
      <c r="G696" s="25"/>
      <c r="H696" s="209"/>
      <c r="I696" s="5"/>
      <c r="J696" s="210"/>
      <c r="K696" s="211"/>
      <c r="L696" s="206"/>
    </row>
    <row r="697" spans="1:12" s="187" customFormat="1" x14ac:dyDescent="0.2">
      <c r="A697" s="111">
        <f>IF(F697&lt;&gt;"",1+MAX($A$7:A696),"")</f>
        <v>251</v>
      </c>
      <c r="B697" s="2" t="s">
        <v>112</v>
      </c>
      <c r="C697" s="2" t="s">
        <v>111</v>
      </c>
      <c r="D697" s="212"/>
      <c r="E697" s="213" t="s">
        <v>107</v>
      </c>
      <c r="F697" s="17">
        <f>10.1*9*2</f>
        <v>181.79999999999998</v>
      </c>
      <c r="G697" s="127">
        <v>0.1</v>
      </c>
      <c r="H697" s="33">
        <f>F697*(1+G697)</f>
        <v>199.98</v>
      </c>
      <c r="I697" s="34" t="s">
        <v>18</v>
      </c>
      <c r="J697" s="204">
        <f>J$143</f>
        <v>0</v>
      </c>
      <c r="K697" s="205">
        <f>J697*H697</f>
        <v>0</v>
      </c>
      <c r="L697" s="206"/>
    </row>
    <row r="698" spans="1:12" s="187" customFormat="1" x14ac:dyDescent="0.2">
      <c r="A698" s="111" t="str">
        <f>IF(F698&lt;&gt;"",1+MAX($A$7:A697),"")</f>
        <v/>
      </c>
      <c r="B698" s="45"/>
      <c r="C698" s="45"/>
      <c r="D698" s="214"/>
      <c r="E698" s="215" t="s">
        <v>48</v>
      </c>
      <c r="F698" s="216"/>
      <c r="G698" s="217"/>
      <c r="H698" s="33">
        <f>ROUNDUP((H697)/32,0)</f>
        <v>7</v>
      </c>
      <c r="I698" s="34" t="s">
        <v>49</v>
      </c>
      <c r="J698" s="204"/>
      <c r="K698" s="205"/>
      <c r="L698" s="206"/>
    </row>
    <row r="699" spans="1:12" s="187" customFormat="1" x14ac:dyDescent="0.2">
      <c r="A699" s="111" t="str">
        <f>IF(F699&lt;&gt;"",1+MAX($A$7:A698),"")</f>
        <v/>
      </c>
      <c r="B699" s="45"/>
      <c r="C699" s="45"/>
      <c r="D699" s="214"/>
      <c r="E699" s="215" t="s">
        <v>50</v>
      </c>
      <c r="F699" s="216"/>
      <c r="G699" s="217"/>
      <c r="H699" s="33">
        <f>ROUNDUP(H698*24/500,0)</f>
        <v>1</v>
      </c>
      <c r="I699" s="34" t="s">
        <v>51</v>
      </c>
      <c r="J699" s="204"/>
      <c r="K699" s="205"/>
      <c r="L699" s="206"/>
    </row>
    <row r="700" spans="1:12" s="187" customFormat="1" x14ac:dyDescent="0.2">
      <c r="A700" s="111" t="str">
        <f>IF(F700&lt;&gt;"",1+MAX($A$7:A699),"")</f>
        <v/>
      </c>
      <c r="B700" s="45"/>
      <c r="C700" s="45"/>
      <c r="D700" s="214"/>
      <c r="E700" s="215" t="s">
        <v>52</v>
      </c>
      <c r="F700" s="216"/>
      <c r="G700" s="217"/>
      <c r="H700" s="218">
        <f>ROUNDUP((H697)/200,0)</f>
        <v>1</v>
      </c>
      <c r="I700" s="34" t="s">
        <v>53</v>
      </c>
      <c r="J700" s="204"/>
      <c r="K700" s="205"/>
      <c r="L700" s="206"/>
    </row>
    <row r="701" spans="1:12" s="187" customFormat="1" x14ac:dyDescent="0.2">
      <c r="A701" s="111" t="str">
        <f>IF(F701&lt;&gt;"",1+MAX($A$7:A700),"")</f>
        <v/>
      </c>
      <c r="B701" s="45"/>
      <c r="C701" s="45"/>
      <c r="D701" s="214"/>
      <c r="E701" s="215" t="s">
        <v>54</v>
      </c>
      <c r="F701" s="216"/>
      <c r="G701" s="217"/>
      <c r="H701" s="218">
        <f>ROUNDUP((H697)*5.25/1000,0)</f>
        <v>2</v>
      </c>
      <c r="I701" s="34" t="s">
        <v>55</v>
      </c>
      <c r="J701" s="204"/>
      <c r="K701" s="205"/>
      <c r="L701" s="206"/>
    </row>
    <row r="702" spans="1:12" s="187" customFormat="1" x14ac:dyDescent="0.2">
      <c r="A702" s="111">
        <f>IF(F702&lt;&gt;"",1+MAX($A$7:A701),"")</f>
        <v>252</v>
      </c>
      <c r="B702" s="2" t="s">
        <v>112</v>
      </c>
      <c r="C702" s="2" t="s">
        <v>111</v>
      </c>
      <c r="D702" s="214"/>
      <c r="E702" s="213" t="s">
        <v>109</v>
      </c>
      <c r="F702" s="17">
        <f>10.1*4</f>
        <v>40.4</v>
      </c>
      <c r="G702" s="127">
        <v>0.1</v>
      </c>
      <c r="H702" s="33">
        <f>F702*(1+G702)</f>
        <v>44.440000000000005</v>
      </c>
      <c r="I702" s="34" t="s">
        <v>15</v>
      </c>
      <c r="J702" s="204">
        <f>J$148</f>
        <v>0</v>
      </c>
      <c r="K702" s="205">
        <f>J702*H702</f>
        <v>0</v>
      </c>
      <c r="L702" s="206"/>
    </row>
    <row r="703" spans="1:12" s="187" customFormat="1" x14ac:dyDescent="0.2">
      <c r="A703" s="111">
        <f>IF(F703&lt;&gt;"",1+MAX($A$7:A702),"")</f>
        <v>253</v>
      </c>
      <c r="B703" s="2" t="s">
        <v>112</v>
      </c>
      <c r="C703" s="2" t="s">
        <v>111</v>
      </c>
      <c r="D703" s="212"/>
      <c r="E703" s="213" t="s">
        <v>484</v>
      </c>
      <c r="F703" s="17">
        <f>10.1*9</f>
        <v>90.899999999999991</v>
      </c>
      <c r="G703" s="127">
        <v>0.1</v>
      </c>
      <c r="H703" s="33">
        <f>F703*(1+G703)</f>
        <v>99.99</v>
      </c>
      <c r="I703" s="34" t="s">
        <v>18</v>
      </c>
      <c r="J703" s="204">
        <f>J$276</f>
        <v>0</v>
      </c>
      <c r="K703" s="205">
        <f>J703*H703</f>
        <v>0</v>
      </c>
      <c r="L703" s="206"/>
    </row>
    <row r="704" spans="1:12" s="187" customFormat="1" x14ac:dyDescent="0.2">
      <c r="A704" s="111">
        <f>IF(F704&lt;&gt;"",1+MAX($A$7:A703),"")</f>
        <v>254</v>
      </c>
      <c r="B704" s="2" t="s">
        <v>112</v>
      </c>
      <c r="C704" s="2" t="s">
        <v>111</v>
      </c>
      <c r="D704" s="212"/>
      <c r="E704" s="213" t="s">
        <v>123</v>
      </c>
      <c r="F704" s="17">
        <f>10.1*9</f>
        <v>90.899999999999991</v>
      </c>
      <c r="G704" s="127">
        <v>0.1</v>
      </c>
      <c r="H704" s="33">
        <f>F704*(1+G704)</f>
        <v>99.99</v>
      </c>
      <c r="I704" s="34" t="s">
        <v>18</v>
      </c>
      <c r="J704" s="204">
        <f>J$202</f>
        <v>0</v>
      </c>
      <c r="K704" s="205">
        <f>J704*H704</f>
        <v>0</v>
      </c>
      <c r="L704" s="206"/>
    </row>
    <row r="705" spans="1:12" s="187" customFormat="1" x14ac:dyDescent="0.2">
      <c r="A705" s="111" t="str">
        <f>IF(F705&lt;&gt;"",1+MAX($A$7:A704),"")</f>
        <v/>
      </c>
      <c r="B705" s="2"/>
      <c r="C705" s="2"/>
      <c r="D705" s="212"/>
      <c r="E705" s="213"/>
      <c r="F705" s="17"/>
      <c r="G705" s="127"/>
      <c r="H705" s="33"/>
      <c r="I705" s="34"/>
      <c r="J705" s="204"/>
      <c r="K705" s="205"/>
      <c r="L705" s="206"/>
    </row>
    <row r="706" spans="1:12" s="187" customFormat="1" x14ac:dyDescent="0.2">
      <c r="A706" s="111" t="str">
        <f>IF(F706&lt;&gt;"",1+MAX($A$7:A705),"")</f>
        <v/>
      </c>
      <c r="B706" s="207"/>
      <c r="C706" s="207"/>
      <c r="D706" s="201"/>
      <c r="E706" s="208" t="s">
        <v>151</v>
      </c>
      <c r="F706" s="203"/>
      <c r="G706" s="25"/>
      <c r="H706" s="209"/>
      <c r="I706" s="5"/>
      <c r="J706" s="210"/>
      <c r="K706" s="211"/>
      <c r="L706" s="206"/>
    </row>
    <row r="707" spans="1:12" s="187" customFormat="1" ht="31.5" x14ac:dyDescent="0.2">
      <c r="A707" s="111">
        <f>IF(F707&lt;&gt;"",1+MAX($A$7:A706),"")</f>
        <v>255</v>
      </c>
      <c r="B707" s="2" t="s">
        <v>112</v>
      </c>
      <c r="C707" s="2" t="s">
        <v>111</v>
      </c>
      <c r="D707" s="212"/>
      <c r="E707" s="213" t="s">
        <v>72</v>
      </c>
      <c r="F707" s="17">
        <f>3.3*9*2*2</f>
        <v>118.8</v>
      </c>
      <c r="G707" s="127">
        <v>0.1</v>
      </c>
      <c r="H707" s="33">
        <f>F707*(1+G707)</f>
        <v>130.68</v>
      </c>
      <c r="I707" s="34" t="s">
        <v>18</v>
      </c>
      <c r="J707" s="204">
        <f>J$143</f>
        <v>0</v>
      </c>
      <c r="K707" s="205">
        <f>J707*H707</f>
        <v>0</v>
      </c>
      <c r="L707" s="206"/>
    </row>
    <row r="708" spans="1:12" s="187" customFormat="1" x14ac:dyDescent="0.2">
      <c r="A708" s="111" t="str">
        <f>IF(F708&lt;&gt;"",1+MAX($A$7:A707),"")</f>
        <v/>
      </c>
      <c r="B708" s="45"/>
      <c r="C708" s="45"/>
      <c r="D708" s="214"/>
      <c r="E708" s="215" t="s">
        <v>48</v>
      </c>
      <c r="F708" s="216"/>
      <c r="G708" s="217"/>
      <c r="H708" s="33">
        <f>ROUNDUP((H707)/32,0)</f>
        <v>5</v>
      </c>
      <c r="I708" s="34" t="s">
        <v>49</v>
      </c>
      <c r="J708" s="204"/>
      <c r="K708" s="205"/>
      <c r="L708" s="206"/>
    </row>
    <row r="709" spans="1:12" s="187" customFormat="1" x14ac:dyDescent="0.2">
      <c r="A709" s="111" t="str">
        <f>IF(F709&lt;&gt;"",1+MAX($A$7:A708),"")</f>
        <v/>
      </c>
      <c r="B709" s="45"/>
      <c r="C709" s="45"/>
      <c r="D709" s="214"/>
      <c r="E709" s="215" t="s">
        <v>50</v>
      </c>
      <c r="F709" s="216"/>
      <c r="G709" s="217"/>
      <c r="H709" s="33">
        <f>ROUNDUP(H708*24/500,0)</f>
        <v>1</v>
      </c>
      <c r="I709" s="34" t="s">
        <v>51</v>
      </c>
      <c r="J709" s="204"/>
      <c r="K709" s="205"/>
      <c r="L709" s="206"/>
    </row>
    <row r="710" spans="1:12" s="187" customFormat="1" x14ac:dyDescent="0.2">
      <c r="A710" s="111" t="str">
        <f>IF(F710&lt;&gt;"",1+MAX($A$7:A709),"")</f>
        <v/>
      </c>
      <c r="B710" s="45"/>
      <c r="C710" s="45"/>
      <c r="D710" s="214"/>
      <c r="E710" s="215" t="s">
        <v>52</v>
      </c>
      <c r="F710" s="216"/>
      <c r="G710" s="217"/>
      <c r="H710" s="218">
        <f>ROUNDUP((H707)/200,0)</f>
        <v>1</v>
      </c>
      <c r="I710" s="34" t="s">
        <v>53</v>
      </c>
      <c r="J710" s="204"/>
      <c r="K710" s="205"/>
      <c r="L710" s="206"/>
    </row>
    <row r="711" spans="1:12" s="187" customFormat="1" x14ac:dyDescent="0.2">
      <c r="A711" s="111" t="str">
        <f>IF(F711&lt;&gt;"",1+MAX($A$7:A710),"")</f>
        <v/>
      </c>
      <c r="B711" s="45"/>
      <c r="C711" s="45"/>
      <c r="D711" s="214"/>
      <c r="E711" s="215" t="s">
        <v>54</v>
      </c>
      <c r="F711" s="216"/>
      <c r="G711" s="217"/>
      <c r="H711" s="218">
        <f>ROUNDUP((H707)*5.25/1000,0)</f>
        <v>1</v>
      </c>
      <c r="I711" s="34" t="s">
        <v>55</v>
      </c>
      <c r="J711" s="204"/>
      <c r="K711" s="205"/>
      <c r="L711" s="206"/>
    </row>
    <row r="712" spans="1:12" s="187" customFormat="1" x14ac:dyDescent="0.2">
      <c r="A712" s="111">
        <f>IF(F712&lt;&gt;"",1+MAX($A$7:A711),"")</f>
        <v>256</v>
      </c>
      <c r="B712" s="2" t="s">
        <v>112</v>
      </c>
      <c r="C712" s="2" t="s">
        <v>111</v>
      </c>
      <c r="D712" s="214"/>
      <c r="E712" s="213" t="s">
        <v>109</v>
      </c>
      <c r="F712" s="17">
        <f>3.3*4</f>
        <v>13.2</v>
      </c>
      <c r="G712" s="127">
        <v>0.1</v>
      </c>
      <c r="H712" s="33">
        <f>F712*(1+G712)</f>
        <v>14.52</v>
      </c>
      <c r="I712" s="34" t="s">
        <v>15</v>
      </c>
      <c r="J712" s="204">
        <f>J$148</f>
        <v>0</v>
      </c>
      <c r="K712" s="205">
        <f>J712*H712</f>
        <v>0</v>
      </c>
      <c r="L712" s="206"/>
    </row>
    <row r="713" spans="1:12" s="187" customFormat="1" x14ac:dyDescent="0.2">
      <c r="A713" s="111">
        <f>IF(F713&lt;&gt;"",1+MAX($A$7:A712),"")</f>
        <v>257</v>
      </c>
      <c r="B713" s="2" t="s">
        <v>112</v>
      </c>
      <c r="C713" s="2" t="s">
        <v>111</v>
      </c>
      <c r="D713" s="212"/>
      <c r="E713" s="213" t="s">
        <v>133</v>
      </c>
      <c r="F713" s="17">
        <f>3.3*9</f>
        <v>29.7</v>
      </c>
      <c r="G713" s="127">
        <v>0.1</v>
      </c>
      <c r="H713" s="33">
        <f>F713*(1+G713)</f>
        <v>32.67</v>
      </c>
      <c r="I713" s="34" t="s">
        <v>18</v>
      </c>
      <c r="J713" s="204">
        <f>J$149</f>
        <v>0</v>
      </c>
      <c r="K713" s="205">
        <f>J713*H713</f>
        <v>0</v>
      </c>
      <c r="L713" s="206"/>
    </row>
    <row r="714" spans="1:12" s="187" customFormat="1" x14ac:dyDescent="0.2">
      <c r="A714" s="111" t="str">
        <f>IF(F714&lt;&gt;"",1+MAX($A$7:A713),"")</f>
        <v/>
      </c>
      <c r="B714" s="2"/>
      <c r="C714" s="2"/>
      <c r="D714" s="214"/>
      <c r="E714" s="243" t="s">
        <v>56</v>
      </c>
      <c r="F714" s="17"/>
      <c r="G714" s="127"/>
      <c r="H714" s="33">
        <f>(3.3/1.167+1)</f>
        <v>3.8277634961439588</v>
      </c>
      <c r="I714" s="34" t="s">
        <v>20</v>
      </c>
      <c r="J714" s="204"/>
      <c r="K714" s="205"/>
      <c r="L714" s="206"/>
    </row>
    <row r="715" spans="1:12" s="187" customFormat="1" x14ac:dyDescent="0.2">
      <c r="A715" s="111">
        <f>IF(F715&lt;&gt;"",1+MAX($A$7:A714),"")</f>
        <v>258</v>
      </c>
      <c r="B715" s="2" t="s">
        <v>112</v>
      </c>
      <c r="C715" s="2" t="s">
        <v>111</v>
      </c>
      <c r="D715" s="214"/>
      <c r="E715" s="213" t="s">
        <v>134</v>
      </c>
      <c r="F715" s="17">
        <f>3.3*4</f>
        <v>13.2</v>
      </c>
      <c r="G715" s="127">
        <v>0.1</v>
      </c>
      <c r="H715" s="33">
        <f>F715*(1+G715)</f>
        <v>14.52</v>
      </c>
      <c r="I715" s="34" t="s">
        <v>15</v>
      </c>
      <c r="J715" s="204">
        <f>J$151</f>
        <v>0</v>
      </c>
      <c r="K715" s="205">
        <f>J715*H715</f>
        <v>0</v>
      </c>
      <c r="L715" s="206"/>
    </row>
    <row r="716" spans="1:12" s="187" customFormat="1" x14ac:dyDescent="0.2">
      <c r="A716" s="111" t="str">
        <f>IF(F716&lt;&gt;"",1+MAX($A$7:A715),"")</f>
        <v/>
      </c>
      <c r="B716" s="2"/>
      <c r="C716" s="2"/>
      <c r="D716" s="214"/>
      <c r="E716" s="213"/>
      <c r="F716" s="17"/>
      <c r="G716" s="127"/>
      <c r="H716" s="33"/>
      <c r="I716" s="34"/>
      <c r="J716" s="204"/>
      <c r="K716" s="205"/>
      <c r="L716" s="206"/>
    </row>
    <row r="717" spans="1:12" s="187" customFormat="1" x14ac:dyDescent="0.2">
      <c r="A717" s="111" t="str">
        <f>IF(F717&lt;&gt;"",1+MAX($A$7:A716),"")</f>
        <v/>
      </c>
      <c r="B717" s="207"/>
      <c r="C717" s="207"/>
      <c r="D717" s="201"/>
      <c r="E717" s="208" t="s">
        <v>152</v>
      </c>
      <c r="F717" s="203"/>
      <c r="G717" s="25"/>
      <c r="H717" s="209"/>
      <c r="I717" s="5"/>
      <c r="J717" s="210"/>
      <c r="K717" s="211"/>
      <c r="L717" s="206"/>
    </row>
    <row r="718" spans="1:12" s="187" customFormat="1" x14ac:dyDescent="0.2">
      <c r="A718" s="111">
        <f>IF(F718&lt;&gt;"",1+MAX($A$7:A717),"")</f>
        <v>259</v>
      </c>
      <c r="B718" s="2" t="s">
        <v>112</v>
      </c>
      <c r="C718" s="2" t="s">
        <v>111</v>
      </c>
      <c r="D718" s="212"/>
      <c r="E718" s="213" t="s">
        <v>122</v>
      </c>
      <c r="F718" s="17">
        <f>40.5*9</f>
        <v>364.5</v>
      </c>
      <c r="G718" s="127">
        <v>0.1</v>
      </c>
      <c r="H718" s="33">
        <f>F718*(1+G718)</f>
        <v>400.95000000000005</v>
      </c>
      <c r="I718" s="34" t="s">
        <v>18</v>
      </c>
      <c r="J718" s="204">
        <f>J$143</f>
        <v>0</v>
      </c>
      <c r="K718" s="205">
        <f>J718*H718</f>
        <v>0</v>
      </c>
      <c r="L718" s="206"/>
    </row>
    <row r="719" spans="1:12" s="187" customFormat="1" x14ac:dyDescent="0.2">
      <c r="A719" s="111" t="str">
        <f>IF(F719&lt;&gt;"",1+MAX($A$7:A718),"")</f>
        <v/>
      </c>
      <c r="B719" s="45"/>
      <c r="C719" s="45"/>
      <c r="D719" s="214"/>
      <c r="E719" s="215" t="s">
        <v>48</v>
      </c>
      <c r="F719" s="216"/>
      <c r="G719" s="217"/>
      <c r="H719" s="33">
        <f>ROUNDUP((H718)/32,0)</f>
        <v>13</v>
      </c>
      <c r="I719" s="34" t="s">
        <v>49</v>
      </c>
      <c r="J719" s="204"/>
      <c r="K719" s="205"/>
      <c r="L719" s="206"/>
    </row>
    <row r="720" spans="1:12" s="187" customFormat="1" x14ac:dyDescent="0.2">
      <c r="A720" s="111" t="str">
        <f>IF(F720&lt;&gt;"",1+MAX($A$7:A719),"")</f>
        <v/>
      </c>
      <c r="B720" s="45"/>
      <c r="C720" s="45"/>
      <c r="D720" s="214"/>
      <c r="E720" s="215" t="s">
        <v>50</v>
      </c>
      <c r="F720" s="216"/>
      <c r="G720" s="217"/>
      <c r="H720" s="33">
        <f>ROUNDUP(H719*24/500,0)</f>
        <v>1</v>
      </c>
      <c r="I720" s="34" t="s">
        <v>51</v>
      </c>
      <c r="J720" s="204"/>
      <c r="K720" s="205"/>
      <c r="L720" s="206"/>
    </row>
    <row r="721" spans="1:12" s="187" customFormat="1" x14ac:dyDescent="0.2">
      <c r="A721" s="111" t="str">
        <f>IF(F721&lt;&gt;"",1+MAX($A$7:A720),"")</f>
        <v/>
      </c>
      <c r="B721" s="45"/>
      <c r="C721" s="45"/>
      <c r="D721" s="214"/>
      <c r="E721" s="215" t="s">
        <v>52</v>
      </c>
      <c r="F721" s="216"/>
      <c r="G721" s="217"/>
      <c r="H721" s="218">
        <f>ROUNDUP((H718)/200,0)</f>
        <v>3</v>
      </c>
      <c r="I721" s="34" t="s">
        <v>53</v>
      </c>
      <c r="J721" s="204"/>
      <c r="K721" s="205"/>
      <c r="L721" s="206"/>
    </row>
    <row r="722" spans="1:12" s="187" customFormat="1" x14ac:dyDescent="0.2">
      <c r="A722" s="111" t="str">
        <f>IF(F722&lt;&gt;"",1+MAX($A$7:A721),"")</f>
        <v/>
      </c>
      <c r="B722" s="45"/>
      <c r="C722" s="45"/>
      <c r="D722" s="214"/>
      <c r="E722" s="215" t="s">
        <v>54</v>
      </c>
      <c r="F722" s="216"/>
      <c r="G722" s="217"/>
      <c r="H722" s="218">
        <f>ROUNDUP((H718)*5.25/1000,0)</f>
        <v>3</v>
      </c>
      <c r="I722" s="34" t="s">
        <v>55</v>
      </c>
      <c r="J722" s="204"/>
      <c r="K722" s="205"/>
      <c r="L722" s="206"/>
    </row>
    <row r="723" spans="1:12" s="187" customFormat="1" x14ac:dyDescent="0.2">
      <c r="A723" s="111">
        <f>IF(F723&lt;&gt;"",1+MAX($A$7:A722),"")</f>
        <v>260</v>
      </c>
      <c r="B723" s="2" t="s">
        <v>112</v>
      </c>
      <c r="C723" s="2" t="s">
        <v>111</v>
      </c>
      <c r="D723" s="212"/>
      <c r="E723" s="213" t="s">
        <v>108</v>
      </c>
      <c r="F723" s="17">
        <f>148.5*9</f>
        <v>1336.5</v>
      </c>
      <c r="G723" s="127">
        <v>0.1</v>
      </c>
      <c r="H723" s="33">
        <f>F723*(1+G723)</f>
        <v>1470.15</v>
      </c>
      <c r="I723" s="34" t="s">
        <v>18</v>
      </c>
      <c r="J723" s="204">
        <f>J$160</f>
        <v>0</v>
      </c>
      <c r="K723" s="205">
        <f>J723*H723</f>
        <v>0</v>
      </c>
      <c r="L723" s="206"/>
    </row>
    <row r="724" spans="1:12" s="187" customFormat="1" x14ac:dyDescent="0.2">
      <c r="A724" s="111" t="str">
        <f>IF(F724&lt;&gt;"",1+MAX($A$7:A723),"")</f>
        <v/>
      </c>
      <c r="B724" s="45"/>
      <c r="C724" s="45"/>
      <c r="D724" s="214"/>
      <c r="E724" s="215" t="s">
        <v>48</v>
      </c>
      <c r="F724" s="216"/>
      <c r="G724" s="217"/>
      <c r="H724" s="33">
        <f>ROUNDUP((H723)/32,0)</f>
        <v>46</v>
      </c>
      <c r="I724" s="34" t="s">
        <v>49</v>
      </c>
      <c r="J724" s="204"/>
      <c r="K724" s="205"/>
      <c r="L724" s="206"/>
    </row>
    <row r="725" spans="1:12" s="187" customFormat="1" x14ac:dyDescent="0.2">
      <c r="A725" s="111" t="str">
        <f>IF(F725&lt;&gt;"",1+MAX($A$7:A724),"")</f>
        <v/>
      </c>
      <c r="B725" s="45"/>
      <c r="C725" s="45"/>
      <c r="D725" s="214"/>
      <c r="E725" s="215" t="s">
        <v>50</v>
      </c>
      <c r="F725" s="216"/>
      <c r="G725" s="217"/>
      <c r="H725" s="33">
        <f>ROUNDUP(H724*24/500,0)</f>
        <v>3</v>
      </c>
      <c r="I725" s="34" t="s">
        <v>51</v>
      </c>
      <c r="J725" s="204"/>
      <c r="K725" s="205"/>
      <c r="L725" s="206"/>
    </row>
    <row r="726" spans="1:12" s="187" customFormat="1" x14ac:dyDescent="0.2">
      <c r="A726" s="111" t="str">
        <f>IF(F726&lt;&gt;"",1+MAX($A$7:A725),"")</f>
        <v/>
      </c>
      <c r="B726" s="45"/>
      <c r="C726" s="45"/>
      <c r="D726" s="214"/>
      <c r="E726" s="215" t="s">
        <v>52</v>
      </c>
      <c r="F726" s="216"/>
      <c r="G726" s="217"/>
      <c r="H726" s="218">
        <f>ROUNDUP((H723)/200,0)</f>
        <v>8</v>
      </c>
      <c r="I726" s="34" t="s">
        <v>53</v>
      </c>
      <c r="J726" s="204"/>
      <c r="K726" s="205"/>
      <c r="L726" s="206"/>
    </row>
    <row r="727" spans="1:12" s="187" customFormat="1" x14ac:dyDescent="0.2">
      <c r="A727" s="111" t="str">
        <f>IF(F727&lt;&gt;"",1+MAX($A$7:A726),"")</f>
        <v/>
      </c>
      <c r="B727" s="45"/>
      <c r="C727" s="45"/>
      <c r="D727" s="214"/>
      <c r="E727" s="215" t="s">
        <v>54</v>
      </c>
      <c r="F727" s="216"/>
      <c r="G727" s="217"/>
      <c r="H727" s="218">
        <f>ROUNDUP((H723)*5.25/1000,0)</f>
        <v>8</v>
      </c>
      <c r="I727" s="34" t="s">
        <v>55</v>
      </c>
      <c r="J727" s="204"/>
      <c r="K727" s="205"/>
      <c r="L727" s="206"/>
    </row>
    <row r="728" spans="1:12" s="187" customFormat="1" x14ac:dyDescent="0.2">
      <c r="A728" s="111">
        <f>IF(F728&lt;&gt;"",1+MAX($A$7:A727),"")</f>
        <v>261</v>
      </c>
      <c r="B728" s="2" t="s">
        <v>112</v>
      </c>
      <c r="C728" s="2" t="s">
        <v>111</v>
      </c>
      <c r="D728" s="214"/>
      <c r="E728" s="213" t="s">
        <v>109</v>
      </c>
      <c r="F728" s="17">
        <f>189*2</f>
        <v>378</v>
      </c>
      <c r="G728" s="127">
        <v>0.1</v>
      </c>
      <c r="H728" s="33">
        <f>F728*(1+G728)</f>
        <v>415.8</v>
      </c>
      <c r="I728" s="34" t="s">
        <v>15</v>
      </c>
      <c r="J728" s="204">
        <f>J$148</f>
        <v>0</v>
      </c>
      <c r="K728" s="205">
        <f>J728*H728</f>
        <v>0</v>
      </c>
      <c r="L728" s="206"/>
    </row>
    <row r="729" spans="1:12" s="187" customFormat="1" x14ac:dyDescent="0.2">
      <c r="A729" s="111" t="str">
        <f>IF(F729&lt;&gt;"",1+MAX($A$7:A728),"")</f>
        <v/>
      </c>
      <c r="B729" s="2"/>
      <c r="C729" s="2"/>
      <c r="D729" s="214"/>
      <c r="E729" s="213"/>
      <c r="F729" s="17"/>
      <c r="G729" s="127"/>
      <c r="H729" s="33"/>
      <c r="I729" s="34"/>
      <c r="J729" s="204"/>
      <c r="K729" s="205"/>
      <c r="L729" s="206"/>
    </row>
    <row r="730" spans="1:12" s="187" customFormat="1" x14ac:dyDescent="0.2">
      <c r="A730" s="111" t="str">
        <f>IF(F730&lt;&gt;"",1+MAX($A$7:A729),"")</f>
        <v/>
      </c>
      <c r="B730" s="207"/>
      <c r="C730" s="207"/>
      <c r="D730" s="201"/>
      <c r="E730" s="208" t="s">
        <v>158</v>
      </c>
      <c r="F730" s="203"/>
      <c r="G730" s="25"/>
      <c r="H730" s="209"/>
      <c r="I730" s="5"/>
      <c r="J730" s="210"/>
      <c r="K730" s="211"/>
      <c r="L730" s="206"/>
    </row>
    <row r="731" spans="1:12" s="187" customFormat="1" x14ac:dyDescent="0.2">
      <c r="A731" s="111">
        <f>IF(F731&lt;&gt;"",1+MAX($A$7:A730),"")</f>
        <v>262</v>
      </c>
      <c r="B731" s="2" t="s">
        <v>112</v>
      </c>
      <c r="C731" s="2" t="s">
        <v>154</v>
      </c>
      <c r="D731" s="212"/>
      <c r="E731" s="213" t="s">
        <v>122</v>
      </c>
      <c r="F731" s="17">
        <f>911.7*9</f>
        <v>8205.3000000000011</v>
      </c>
      <c r="G731" s="127">
        <v>0.1</v>
      </c>
      <c r="H731" s="33">
        <f>F731*(1+G731)</f>
        <v>9025.8300000000017</v>
      </c>
      <c r="I731" s="34" t="s">
        <v>18</v>
      </c>
      <c r="J731" s="204">
        <f>J$143</f>
        <v>0</v>
      </c>
      <c r="K731" s="205">
        <f>J731*H731</f>
        <v>0</v>
      </c>
      <c r="L731" s="206"/>
    </row>
    <row r="732" spans="1:12" s="187" customFormat="1" x14ac:dyDescent="0.2">
      <c r="A732" s="111" t="str">
        <f>IF(F732&lt;&gt;"",1+MAX($A$7:A731),"")</f>
        <v/>
      </c>
      <c r="B732" s="45"/>
      <c r="C732" s="45"/>
      <c r="D732" s="214"/>
      <c r="E732" s="215" t="s">
        <v>48</v>
      </c>
      <c r="F732" s="216"/>
      <c r="G732" s="217"/>
      <c r="H732" s="33">
        <f>ROUNDUP((H731)/32,0)</f>
        <v>283</v>
      </c>
      <c r="I732" s="34" t="s">
        <v>49</v>
      </c>
      <c r="J732" s="204"/>
      <c r="K732" s="205"/>
      <c r="L732" s="206"/>
    </row>
    <row r="733" spans="1:12" s="187" customFormat="1" x14ac:dyDescent="0.2">
      <c r="A733" s="111" t="str">
        <f>IF(F733&lt;&gt;"",1+MAX($A$7:A732),"")</f>
        <v/>
      </c>
      <c r="B733" s="45"/>
      <c r="C733" s="45"/>
      <c r="D733" s="214"/>
      <c r="E733" s="215" t="s">
        <v>50</v>
      </c>
      <c r="F733" s="216"/>
      <c r="G733" s="217"/>
      <c r="H733" s="33">
        <f>ROUNDUP(H732*24/500,0)</f>
        <v>14</v>
      </c>
      <c r="I733" s="34" t="s">
        <v>51</v>
      </c>
      <c r="J733" s="204"/>
      <c r="K733" s="205"/>
      <c r="L733" s="206"/>
    </row>
    <row r="734" spans="1:12" s="187" customFormat="1" x14ac:dyDescent="0.2">
      <c r="A734" s="111" t="str">
        <f>IF(F734&lt;&gt;"",1+MAX($A$7:A733),"")</f>
        <v/>
      </c>
      <c r="B734" s="45"/>
      <c r="C734" s="45"/>
      <c r="D734" s="214"/>
      <c r="E734" s="215" t="s">
        <v>52</v>
      </c>
      <c r="F734" s="216"/>
      <c r="G734" s="217"/>
      <c r="H734" s="218">
        <f>ROUNDUP((H731)/200,0)</f>
        <v>46</v>
      </c>
      <c r="I734" s="34" t="s">
        <v>53</v>
      </c>
      <c r="J734" s="204"/>
      <c r="K734" s="205"/>
      <c r="L734" s="206"/>
    </row>
    <row r="735" spans="1:12" s="187" customFormat="1" x14ac:dyDescent="0.2">
      <c r="A735" s="111" t="str">
        <f>IF(F735&lt;&gt;"",1+MAX($A$7:A734),"")</f>
        <v/>
      </c>
      <c r="B735" s="45"/>
      <c r="C735" s="45"/>
      <c r="D735" s="214"/>
      <c r="E735" s="215" t="s">
        <v>54</v>
      </c>
      <c r="F735" s="216"/>
      <c r="G735" s="217"/>
      <c r="H735" s="218">
        <f>ROUNDUP((H731)*5.25/1000,0)</f>
        <v>48</v>
      </c>
      <c r="I735" s="34" t="s">
        <v>55</v>
      </c>
      <c r="J735" s="204"/>
      <c r="K735" s="205"/>
      <c r="L735" s="206"/>
    </row>
    <row r="736" spans="1:12" s="187" customFormat="1" x14ac:dyDescent="0.2">
      <c r="A736" s="111">
        <f>IF(F736&lt;&gt;"",1+MAX($A$7:A735),"")</f>
        <v>263</v>
      </c>
      <c r="B736" s="2" t="s">
        <v>112</v>
      </c>
      <c r="C736" s="2" t="s">
        <v>154</v>
      </c>
      <c r="D736" s="214"/>
      <c r="E736" s="213" t="s">
        <v>109</v>
      </c>
      <c r="F736" s="17">
        <f>911.7*2</f>
        <v>1823.4</v>
      </c>
      <c r="G736" s="127">
        <v>0.1</v>
      </c>
      <c r="H736" s="33">
        <f>F736*(1+G736)</f>
        <v>2005.7400000000002</v>
      </c>
      <c r="I736" s="34" t="s">
        <v>15</v>
      </c>
      <c r="J736" s="204">
        <f>J$148</f>
        <v>0</v>
      </c>
      <c r="K736" s="205">
        <f>J736*H736</f>
        <v>0</v>
      </c>
      <c r="L736" s="206"/>
    </row>
    <row r="737" spans="1:12" s="187" customFormat="1" x14ac:dyDescent="0.2">
      <c r="A737" s="111">
        <f>IF(F737&lt;&gt;"",1+MAX($A$7:A736),"")</f>
        <v>264</v>
      </c>
      <c r="B737" s="2" t="s">
        <v>112</v>
      </c>
      <c r="C737" s="2" t="s">
        <v>154</v>
      </c>
      <c r="D737" s="212"/>
      <c r="E737" s="213" t="s">
        <v>484</v>
      </c>
      <c r="F737" s="17">
        <f>911.7*9</f>
        <v>8205.3000000000011</v>
      </c>
      <c r="G737" s="127">
        <v>0.1</v>
      </c>
      <c r="H737" s="33">
        <f>F737*(1+G737)</f>
        <v>9025.8300000000017</v>
      </c>
      <c r="I737" s="34" t="s">
        <v>18</v>
      </c>
      <c r="J737" s="204">
        <f>J$276</f>
        <v>0</v>
      </c>
      <c r="K737" s="205">
        <f>J737*H737</f>
        <v>0</v>
      </c>
      <c r="L737" s="206"/>
    </row>
    <row r="738" spans="1:12" s="187" customFormat="1" x14ac:dyDescent="0.2">
      <c r="A738" s="111">
        <f>IF(F738&lt;&gt;"",1+MAX($A$7:A737),"")</f>
        <v>265</v>
      </c>
      <c r="B738" s="2" t="s">
        <v>112</v>
      </c>
      <c r="C738" s="2" t="s">
        <v>154</v>
      </c>
      <c r="D738" s="212"/>
      <c r="E738" s="213" t="s">
        <v>156</v>
      </c>
      <c r="F738" s="17">
        <f>911.7*10.25</f>
        <v>9344.9250000000011</v>
      </c>
      <c r="G738" s="127">
        <v>0.1</v>
      </c>
      <c r="H738" s="33">
        <f>F738*(1+G738)</f>
        <v>10279.417500000001</v>
      </c>
      <c r="I738" s="34" t="s">
        <v>18</v>
      </c>
      <c r="J738" s="204">
        <f>J$442</f>
        <v>0</v>
      </c>
      <c r="K738" s="205">
        <f>J738*H738</f>
        <v>0</v>
      </c>
      <c r="L738" s="206"/>
    </row>
    <row r="739" spans="1:12" s="187" customFormat="1" x14ac:dyDescent="0.2">
      <c r="A739" s="111" t="str">
        <f>IF(F739&lt;&gt;"",1+MAX($A$7:A738),"")</f>
        <v/>
      </c>
      <c r="B739" s="2"/>
      <c r="C739" s="2"/>
      <c r="D739" s="214"/>
      <c r="E739" s="213"/>
      <c r="F739" s="17"/>
      <c r="G739" s="127"/>
      <c r="H739" s="33"/>
      <c r="I739" s="34"/>
      <c r="J739" s="204"/>
      <c r="K739" s="205"/>
      <c r="L739" s="206"/>
    </row>
    <row r="740" spans="1:12" s="187" customFormat="1" x14ac:dyDescent="0.2">
      <c r="A740" s="111" t="str">
        <f>IF(F740&lt;&gt;"",1+MAX($A$7:A739),"")</f>
        <v/>
      </c>
      <c r="B740" s="207"/>
      <c r="C740" s="207"/>
      <c r="D740" s="201"/>
      <c r="E740" s="208" t="s">
        <v>159</v>
      </c>
      <c r="F740" s="203"/>
      <c r="G740" s="25"/>
      <c r="H740" s="209"/>
      <c r="I740" s="5"/>
      <c r="J740" s="210"/>
      <c r="K740" s="211"/>
      <c r="L740" s="206"/>
    </row>
    <row r="741" spans="1:12" s="187" customFormat="1" x14ac:dyDescent="0.2">
      <c r="A741" s="111">
        <f>IF(F741&lt;&gt;"",1+MAX($A$7:A740),"")</f>
        <v>266</v>
      </c>
      <c r="B741" s="2" t="s">
        <v>112</v>
      </c>
      <c r="C741" s="2" t="s">
        <v>154</v>
      </c>
      <c r="D741" s="212"/>
      <c r="E741" s="213" t="s">
        <v>140</v>
      </c>
      <c r="F741" s="17">
        <f>46*9*2</f>
        <v>828</v>
      </c>
      <c r="G741" s="127">
        <v>0.1</v>
      </c>
      <c r="H741" s="33">
        <f>F741*(1+G741)</f>
        <v>910.80000000000007</v>
      </c>
      <c r="I741" s="34" t="s">
        <v>18</v>
      </c>
      <c r="J741" s="204">
        <f>J$143</f>
        <v>0</v>
      </c>
      <c r="K741" s="205">
        <f>J741*H741</f>
        <v>0</v>
      </c>
      <c r="L741" s="206"/>
    </row>
    <row r="742" spans="1:12" s="187" customFormat="1" x14ac:dyDescent="0.2">
      <c r="A742" s="111" t="str">
        <f>IF(F742&lt;&gt;"",1+MAX($A$7:A741),"")</f>
        <v/>
      </c>
      <c r="B742" s="45"/>
      <c r="C742" s="45"/>
      <c r="D742" s="214"/>
      <c r="E742" s="215" t="s">
        <v>48</v>
      </c>
      <c r="F742" s="216"/>
      <c r="G742" s="217"/>
      <c r="H742" s="33">
        <f>ROUNDUP((H741)/32,0)</f>
        <v>29</v>
      </c>
      <c r="I742" s="34" t="s">
        <v>49</v>
      </c>
      <c r="J742" s="204"/>
      <c r="K742" s="205"/>
      <c r="L742" s="206"/>
    </row>
    <row r="743" spans="1:12" s="187" customFormat="1" x14ac:dyDescent="0.2">
      <c r="A743" s="111" t="str">
        <f>IF(F743&lt;&gt;"",1+MAX($A$7:A742),"")</f>
        <v/>
      </c>
      <c r="B743" s="45"/>
      <c r="C743" s="45"/>
      <c r="D743" s="214"/>
      <c r="E743" s="215" t="s">
        <v>50</v>
      </c>
      <c r="F743" s="216"/>
      <c r="G743" s="217"/>
      <c r="H743" s="33">
        <f>ROUNDUP(H742*24/500,0)</f>
        <v>2</v>
      </c>
      <c r="I743" s="34" t="s">
        <v>51</v>
      </c>
      <c r="J743" s="204"/>
      <c r="K743" s="205"/>
      <c r="L743" s="206"/>
    </row>
    <row r="744" spans="1:12" s="187" customFormat="1" x14ac:dyDescent="0.2">
      <c r="A744" s="111" t="str">
        <f>IF(F744&lt;&gt;"",1+MAX($A$7:A743),"")</f>
        <v/>
      </c>
      <c r="B744" s="45"/>
      <c r="C744" s="45"/>
      <c r="D744" s="214"/>
      <c r="E744" s="215" t="s">
        <v>52</v>
      </c>
      <c r="F744" s="216"/>
      <c r="G744" s="217"/>
      <c r="H744" s="218">
        <f>ROUNDUP((H741)/200,0)</f>
        <v>5</v>
      </c>
      <c r="I744" s="34" t="s">
        <v>53</v>
      </c>
      <c r="J744" s="204"/>
      <c r="K744" s="205"/>
      <c r="L744" s="206"/>
    </row>
    <row r="745" spans="1:12" s="187" customFormat="1" x14ac:dyDescent="0.2">
      <c r="A745" s="111" t="str">
        <f>IF(F745&lt;&gt;"",1+MAX($A$7:A744),"")</f>
        <v/>
      </c>
      <c r="B745" s="45"/>
      <c r="C745" s="45"/>
      <c r="D745" s="214"/>
      <c r="E745" s="215" t="s">
        <v>54</v>
      </c>
      <c r="F745" s="216"/>
      <c r="G745" s="217"/>
      <c r="H745" s="218">
        <f>ROUNDUP((H741)*5.25/1000,0)</f>
        <v>5</v>
      </c>
      <c r="I745" s="34" t="s">
        <v>55</v>
      </c>
      <c r="J745" s="204"/>
      <c r="K745" s="205"/>
      <c r="L745" s="206"/>
    </row>
    <row r="746" spans="1:12" s="187" customFormat="1" x14ac:dyDescent="0.2">
      <c r="A746" s="111">
        <f>IF(F746&lt;&gt;"",1+MAX($A$7:A745),"")</f>
        <v>267</v>
      </c>
      <c r="B746" s="2" t="s">
        <v>112</v>
      </c>
      <c r="C746" s="2" t="s">
        <v>154</v>
      </c>
      <c r="D746" s="214"/>
      <c r="E746" s="213" t="s">
        <v>109</v>
      </c>
      <c r="F746" s="17">
        <f>46*2</f>
        <v>92</v>
      </c>
      <c r="G746" s="127">
        <v>0.1</v>
      </c>
      <c r="H746" s="33">
        <f>F746*(1+G746)</f>
        <v>101.2</v>
      </c>
      <c r="I746" s="34" t="s">
        <v>15</v>
      </c>
      <c r="J746" s="204">
        <f>J$148</f>
        <v>0</v>
      </c>
      <c r="K746" s="205">
        <f>J746*H746</f>
        <v>0</v>
      </c>
      <c r="L746" s="206"/>
    </row>
    <row r="747" spans="1:12" s="187" customFormat="1" x14ac:dyDescent="0.2">
      <c r="A747" s="111">
        <f>IF(F747&lt;&gt;"",1+MAX($A$7:A746),"")</f>
        <v>268</v>
      </c>
      <c r="B747" s="2" t="s">
        <v>112</v>
      </c>
      <c r="C747" s="2" t="s">
        <v>154</v>
      </c>
      <c r="D747" s="212"/>
      <c r="E747" s="213" t="s">
        <v>484</v>
      </c>
      <c r="F747" s="17">
        <f>46*9</f>
        <v>414</v>
      </c>
      <c r="G747" s="127">
        <v>0.1</v>
      </c>
      <c r="H747" s="33">
        <f>F747*(1+G747)</f>
        <v>455.40000000000003</v>
      </c>
      <c r="I747" s="34" t="s">
        <v>18</v>
      </c>
      <c r="J747" s="204">
        <f>J$276</f>
        <v>0</v>
      </c>
      <c r="K747" s="205">
        <f>J747*H747</f>
        <v>0</v>
      </c>
      <c r="L747" s="206"/>
    </row>
    <row r="748" spans="1:12" s="187" customFormat="1" x14ac:dyDescent="0.2">
      <c r="A748" s="111">
        <f>IF(F748&lt;&gt;"",1+MAX($A$7:A747),"")</f>
        <v>269</v>
      </c>
      <c r="B748" s="2" t="s">
        <v>112</v>
      </c>
      <c r="C748" s="2" t="s">
        <v>154</v>
      </c>
      <c r="D748" s="212"/>
      <c r="E748" s="213" t="s">
        <v>156</v>
      </c>
      <c r="F748" s="17">
        <f>46*11</f>
        <v>506</v>
      </c>
      <c r="G748" s="127">
        <v>0.1</v>
      </c>
      <c r="H748" s="33">
        <f>F748*(1+G748)</f>
        <v>556.6</v>
      </c>
      <c r="I748" s="34" t="s">
        <v>18</v>
      </c>
      <c r="J748" s="204">
        <f>J$442</f>
        <v>0</v>
      </c>
      <c r="K748" s="205">
        <f>J748*H748</f>
        <v>0</v>
      </c>
      <c r="L748" s="206"/>
    </row>
    <row r="749" spans="1:12" s="187" customFormat="1" x14ac:dyDescent="0.2">
      <c r="A749" s="111" t="str">
        <f>IF(F749&lt;&gt;"",1+MAX($A$7:A748),"")</f>
        <v/>
      </c>
      <c r="B749" s="2"/>
      <c r="C749" s="2"/>
      <c r="D749" s="214"/>
      <c r="E749" s="213"/>
      <c r="F749" s="17"/>
      <c r="G749" s="127"/>
      <c r="H749" s="33"/>
      <c r="I749" s="34"/>
      <c r="J749" s="204"/>
      <c r="K749" s="205"/>
      <c r="L749" s="206"/>
    </row>
    <row r="750" spans="1:12" s="187" customFormat="1" x14ac:dyDescent="0.2">
      <c r="A750" s="111" t="str">
        <f>IF(F750&lt;&gt;"",1+MAX($A$7:A749),"")</f>
        <v/>
      </c>
      <c r="B750" s="207"/>
      <c r="C750" s="207"/>
      <c r="D750" s="201"/>
      <c r="E750" s="208" t="s">
        <v>206</v>
      </c>
      <c r="F750" s="203"/>
      <c r="G750" s="25"/>
      <c r="H750" s="209"/>
      <c r="I750" s="5"/>
      <c r="J750" s="210"/>
      <c r="K750" s="211"/>
      <c r="L750" s="206"/>
    </row>
    <row r="751" spans="1:12" s="187" customFormat="1" x14ac:dyDescent="0.2">
      <c r="A751" s="111">
        <f>IF(F751&lt;&gt;"",1+MAX($A$7:A750),"")</f>
        <v>270</v>
      </c>
      <c r="B751" s="2" t="s">
        <v>112</v>
      </c>
      <c r="C751" s="2" t="s">
        <v>207</v>
      </c>
      <c r="D751" s="212"/>
      <c r="E751" s="213" t="s">
        <v>156</v>
      </c>
      <c r="F751" s="17">
        <f>136.8*5.25+10.3*2.83</f>
        <v>747.34900000000005</v>
      </c>
      <c r="G751" s="127">
        <v>0.1</v>
      </c>
      <c r="H751" s="33">
        <f>F751*(1+G751)</f>
        <v>822.08390000000009</v>
      </c>
      <c r="I751" s="34" t="s">
        <v>18</v>
      </c>
      <c r="J751" s="204">
        <f>J$442</f>
        <v>0</v>
      </c>
      <c r="K751" s="205">
        <f>J751*H751</f>
        <v>0</v>
      </c>
      <c r="L751" s="206"/>
    </row>
    <row r="752" spans="1:12" s="187" customFormat="1" x14ac:dyDescent="0.2">
      <c r="A752" s="111">
        <f>IF(F752&lt;&gt;"",1+MAX($A$7:A751),"")</f>
        <v>271</v>
      </c>
      <c r="B752" s="2" t="s">
        <v>112</v>
      </c>
      <c r="C752" s="2" t="s">
        <v>207</v>
      </c>
      <c r="D752" s="212"/>
      <c r="E752" s="213" t="s">
        <v>484</v>
      </c>
      <c r="F752" s="17">
        <f>136.8*5.25+10.3*2.83</f>
        <v>747.34900000000005</v>
      </c>
      <c r="G752" s="127">
        <v>0.1</v>
      </c>
      <c r="H752" s="33">
        <f>F752*(1+G752)</f>
        <v>822.08390000000009</v>
      </c>
      <c r="I752" s="34" t="s">
        <v>18</v>
      </c>
      <c r="J752" s="204">
        <f>J$276</f>
        <v>0</v>
      </c>
      <c r="K752" s="205">
        <f>J752*H752</f>
        <v>0</v>
      </c>
      <c r="L752" s="206"/>
    </row>
    <row r="753" spans="1:12" s="187" customFormat="1" x14ac:dyDescent="0.2">
      <c r="A753" s="111" t="str">
        <f>IF(F753&lt;&gt;"",1+MAX($A$7:A752),"")</f>
        <v/>
      </c>
      <c r="B753" s="2"/>
      <c r="C753" s="2"/>
      <c r="D753" s="214"/>
      <c r="E753" s="213"/>
      <c r="F753" s="17"/>
      <c r="G753" s="127"/>
      <c r="H753" s="33"/>
      <c r="I753" s="34"/>
      <c r="J753" s="204"/>
      <c r="K753" s="205"/>
      <c r="L753" s="206"/>
    </row>
    <row r="754" spans="1:12" s="187" customFormat="1" x14ac:dyDescent="0.2">
      <c r="A754" s="111" t="str">
        <f>IF(F754&lt;&gt;"",1+MAX($A$7:A753),"")</f>
        <v/>
      </c>
      <c r="B754" s="32"/>
      <c r="C754" s="200"/>
      <c r="D754" s="201"/>
      <c r="E754" s="202" t="s">
        <v>208</v>
      </c>
      <c r="F754" s="203"/>
      <c r="G754" s="3"/>
      <c r="H754" s="4"/>
      <c r="I754" s="26"/>
      <c r="J754" s="204"/>
      <c r="K754" s="205"/>
      <c r="L754" s="206"/>
    </row>
    <row r="755" spans="1:12" s="187" customFormat="1" x14ac:dyDescent="0.2">
      <c r="A755" s="111" t="str">
        <f>IF(F755&lt;&gt;"",1+MAX($A$7:A754),"")</f>
        <v/>
      </c>
      <c r="B755" s="207"/>
      <c r="C755" s="207"/>
      <c r="D755" s="201"/>
      <c r="E755" s="208" t="s">
        <v>110</v>
      </c>
      <c r="F755" s="203"/>
      <c r="G755" s="25"/>
      <c r="H755" s="209"/>
      <c r="I755" s="5"/>
      <c r="J755" s="210"/>
      <c r="K755" s="211"/>
      <c r="L755" s="206"/>
    </row>
    <row r="756" spans="1:12" s="187" customFormat="1" x14ac:dyDescent="0.2">
      <c r="A756" s="111">
        <f>IF(F756&lt;&gt;"",1+MAX($A$7:A755),"")</f>
        <v>272</v>
      </c>
      <c r="B756" s="2" t="s">
        <v>112</v>
      </c>
      <c r="C756" s="2" t="s">
        <v>111</v>
      </c>
      <c r="D756" s="212"/>
      <c r="E756" s="213" t="s">
        <v>107</v>
      </c>
      <c r="F756" s="17">
        <f>110.6*9*2+46.5*9</f>
        <v>2409.3000000000002</v>
      </c>
      <c r="G756" s="127">
        <v>0.1</v>
      </c>
      <c r="H756" s="33">
        <f>F756*(1+G756)</f>
        <v>2650.2300000000005</v>
      </c>
      <c r="I756" s="34" t="s">
        <v>18</v>
      </c>
      <c r="J756" s="204">
        <f>J$143</f>
        <v>0</v>
      </c>
      <c r="K756" s="205">
        <f>J756*H756</f>
        <v>0</v>
      </c>
      <c r="L756" s="206"/>
    </row>
    <row r="757" spans="1:12" s="187" customFormat="1" x14ac:dyDescent="0.2">
      <c r="A757" s="111" t="str">
        <f>IF(F757&lt;&gt;"",1+MAX($A$7:A756),"")</f>
        <v/>
      </c>
      <c r="B757" s="45"/>
      <c r="C757" s="45"/>
      <c r="D757" s="214"/>
      <c r="E757" s="215" t="s">
        <v>48</v>
      </c>
      <c r="F757" s="216"/>
      <c r="G757" s="217"/>
      <c r="H757" s="33">
        <f>ROUNDUP((H756)/32,0)</f>
        <v>83</v>
      </c>
      <c r="I757" s="34" t="s">
        <v>49</v>
      </c>
      <c r="J757" s="204"/>
      <c r="K757" s="205"/>
      <c r="L757" s="206"/>
    </row>
    <row r="758" spans="1:12" s="187" customFormat="1" x14ac:dyDescent="0.2">
      <c r="A758" s="111" t="str">
        <f>IF(F758&lt;&gt;"",1+MAX($A$7:A757),"")</f>
        <v/>
      </c>
      <c r="B758" s="45"/>
      <c r="C758" s="45"/>
      <c r="D758" s="214"/>
      <c r="E758" s="215" t="s">
        <v>50</v>
      </c>
      <c r="F758" s="216"/>
      <c r="G758" s="217"/>
      <c r="H758" s="33">
        <f>ROUNDUP(H757*24/500,0)</f>
        <v>4</v>
      </c>
      <c r="I758" s="34" t="s">
        <v>51</v>
      </c>
      <c r="J758" s="204"/>
      <c r="K758" s="205"/>
      <c r="L758" s="206"/>
    </row>
    <row r="759" spans="1:12" s="187" customFormat="1" x14ac:dyDescent="0.2">
      <c r="A759" s="111" t="str">
        <f>IF(F759&lt;&gt;"",1+MAX($A$7:A758),"")</f>
        <v/>
      </c>
      <c r="B759" s="45"/>
      <c r="C759" s="45"/>
      <c r="D759" s="214"/>
      <c r="E759" s="215" t="s">
        <v>52</v>
      </c>
      <c r="F759" s="216"/>
      <c r="G759" s="217"/>
      <c r="H759" s="218">
        <f>ROUNDUP((H756)/200,0)</f>
        <v>14</v>
      </c>
      <c r="I759" s="34" t="s">
        <v>53</v>
      </c>
      <c r="J759" s="204"/>
      <c r="K759" s="205"/>
      <c r="L759" s="206"/>
    </row>
    <row r="760" spans="1:12" s="187" customFormat="1" x14ac:dyDescent="0.2">
      <c r="A760" s="111" t="str">
        <f>IF(F760&lt;&gt;"",1+MAX($A$7:A759),"")</f>
        <v/>
      </c>
      <c r="B760" s="45"/>
      <c r="C760" s="45"/>
      <c r="D760" s="214"/>
      <c r="E760" s="215" t="s">
        <v>54</v>
      </c>
      <c r="F760" s="216"/>
      <c r="G760" s="217"/>
      <c r="H760" s="218">
        <f>ROUNDUP((H756)*5.25/1000,0)</f>
        <v>14</v>
      </c>
      <c r="I760" s="34" t="s">
        <v>55</v>
      </c>
      <c r="J760" s="204"/>
      <c r="K760" s="205"/>
      <c r="L760" s="206"/>
    </row>
    <row r="761" spans="1:12" s="187" customFormat="1" x14ac:dyDescent="0.2">
      <c r="A761" s="111">
        <f>IF(F761&lt;&gt;"",1+MAX($A$7:A760),"")</f>
        <v>273</v>
      </c>
      <c r="B761" s="2" t="s">
        <v>112</v>
      </c>
      <c r="C761" s="2" t="s">
        <v>111</v>
      </c>
      <c r="D761" s="212"/>
      <c r="E761" s="213" t="s">
        <v>108</v>
      </c>
      <c r="F761" s="17">
        <f>46.5*9</f>
        <v>418.5</v>
      </c>
      <c r="G761" s="127">
        <v>0.1</v>
      </c>
      <c r="H761" s="33">
        <f>F761*(1+G761)</f>
        <v>460.35</v>
      </c>
      <c r="I761" s="34" t="s">
        <v>18</v>
      </c>
      <c r="J761" s="204">
        <f>J$160</f>
        <v>0</v>
      </c>
      <c r="K761" s="205">
        <f>J761*H761</f>
        <v>0</v>
      </c>
      <c r="L761" s="206"/>
    </row>
    <row r="762" spans="1:12" s="187" customFormat="1" x14ac:dyDescent="0.2">
      <c r="A762" s="111" t="str">
        <f>IF(F762&lt;&gt;"",1+MAX($A$7:A761),"")</f>
        <v/>
      </c>
      <c r="B762" s="45"/>
      <c r="C762" s="45"/>
      <c r="D762" s="214"/>
      <c r="E762" s="215" t="s">
        <v>48</v>
      </c>
      <c r="F762" s="216"/>
      <c r="G762" s="217"/>
      <c r="H762" s="33">
        <f>ROUNDUP((H761)/32,0)</f>
        <v>15</v>
      </c>
      <c r="I762" s="34" t="s">
        <v>49</v>
      </c>
      <c r="J762" s="204"/>
      <c r="K762" s="205"/>
      <c r="L762" s="206"/>
    </row>
    <row r="763" spans="1:12" s="187" customFormat="1" x14ac:dyDescent="0.2">
      <c r="A763" s="111" t="str">
        <f>IF(F763&lt;&gt;"",1+MAX($A$7:A762),"")</f>
        <v/>
      </c>
      <c r="B763" s="45"/>
      <c r="C763" s="45"/>
      <c r="D763" s="214"/>
      <c r="E763" s="215" t="s">
        <v>50</v>
      </c>
      <c r="F763" s="216"/>
      <c r="G763" s="217"/>
      <c r="H763" s="33">
        <f>ROUNDUP(H762*24/500,0)</f>
        <v>1</v>
      </c>
      <c r="I763" s="34" t="s">
        <v>51</v>
      </c>
      <c r="J763" s="204"/>
      <c r="K763" s="205"/>
      <c r="L763" s="206"/>
    </row>
    <row r="764" spans="1:12" s="187" customFormat="1" x14ac:dyDescent="0.2">
      <c r="A764" s="111" t="str">
        <f>IF(F764&lt;&gt;"",1+MAX($A$7:A763),"")</f>
        <v/>
      </c>
      <c r="B764" s="45"/>
      <c r="C764" s="45"/>
      <c r="D764" s="214"/>
      <c r="E764" s="215" t="s">
        <v>52</v>
      </c>
      <c r="F764" s="216"/>
      <c r="G764" s="217"/>
      <c r="H764" s="218">
        <f>ROUNDUP((H761)/200,0)</f>
        <v>3</v>
      </c>
      <c r="I764" s="34" t="s">
        <v>53</v>
      </c>
      <c r="J764" s="204"/>
      <c r="K764" s="205"/>
      <c r="L764" s="206"/>
    </row>
    <row r="765" spans="1:12" s="187" customFormat="1" x14ac:dyDescent="0.2">
      <c r="A765" s="111" t="str">
        <f>IF(F765&lt;&gt;"",1+MAX($A$7:A764),"")</f>
        <v/>
      </c>
      <c r="B765" s="45"/>
      <c r="C765" s="45"/>
      <c r="D765" s="214"/>
      <c r="E765" s="215" t="s">
        <v>54</v>
      </c>
      <c r="F765" s="216"/>
      <c r="G765" s="217"/>
      <c r="H765" s="218">
        <f>ROUNDUP((H761)*5.25/1000,0)</f>
        <v>3</v>
      </c>
      <c r="I765" s="34" t="s">
        <v>55</v>
      </c>
      <c r="J765" s="204"/>
      <c r="K765" s="205"/>
      <c r="L765" s="206"/>
    </row>
    <row r="766" spans="1:12" s="187" customFormat="1" x14ac:dyDescent="0.2">
      <c r="A766" s="111">
        <f>IF(F766&lt;&gt;"",1+MAX($A$7:A765),"")</f>
        <v>274</v>
      </c>
      <c r="B766" s="2" t="s">
        <v>112</v>
      </c>
      <c r="C766" s="2" t="s">
        <v>111</v>
      </c>
      <c r="D766" s="214"/>
      <c r="E766" s="213" t="s">
        <v>109</v>
      </c>
      <c r="F766" s="17">
        <f>157.1*4</f>
        <v>628.4</v>
      </c>
      <c r="G766" s="127">
        <v>0.1</v>
      </c>
      <c r="H766" s="33">
        <f>F766*(1+G766)</f>
        <v>691.24</v>
      </c>
      <c r="I766" s="34" t="s">
        <v>15</v>
      </c>
      <c r="J766" s="204">
        <f>J$148</f>
        <v>0</v>
      </c>
      <c r="K766" s="205">
        <f>J766*H766</f>
        <v>0</v>
      </c>
      <c r="L766" s="206"/>
    </row>
    <row r="767" spans="1:12" s="187" customFormat="1" x14ac:dyDescent="0.2">
      <c r="A767" s="111" t="str">
        <f>IF(F767&lt;&gt;"",1+MAX($A$7:A766),"")</f>
        <v/>
      </c>
      <c r="B767" s="2"/>
      <c r="C767" s="2"/>
      <c r="D767" s="214"/>
      <c r="E767" s="213"/>
      <c r="F767" s="17"/>
      <c r="G767" s="127"/>
      <c r="H767" s="33"/>
      <c r="I767" s="34"/>
      <c r="J767" s="204"/>
      <c r="K767" s="205"/>
      <c r="L767" s="206"/>
    </row>
    <row r="768" spans="1:12" s="187" customFormat="1" x14ac:dyDescent="0.2">
      <c r="A768" s="111" t="str">
        <f>IF(F768&lt;&gt;"",1+MAX($A$7:A767),"")</f>
        <v/>
      </c>
      <c r="B768" s="207"/>
      <c r="C768" s="207"/>
      <c r="D768" s="201"/>
      <c r="E768" s="208" t="s">
        <v>113</v>
      </c>
      <c r="F768" s="203"/>
      <c r="G768" s="25"/>
      <c r="H768" s="209"/>
      <c r="I768" s="5"/>
      <c r="J768" s="210"/>
      <c r="K768" s="211"/>
      <c r="L768" s="206"/>
    </row>
    <row r="769" spans="1:12" s="187" customFormat="1" x14ac:dyDescent="0.2">
      <c r="A769" s="111">
        <f>IF(F769&lt;&gt;"",1+MAX($A$7:A768),"")</f>
        <v>275</v>
      </c>
      <c r="B769" s="2" t="s">
        <v>112</v>
      </c>
      <c r="C769" s="2" t="s">
        <v>111</v>
      </c>
      <c r="D769" s="212"/>
      <c r="E769" s="213" t="s">
        <v>107</v>
      </c>
      <c r="F769" s="17">
        <f>1333.3*9*2+345.6*9+17.4*3.5*2</f>
        <v>27231.599999999999</v>
      </c>
      <c r="G769" s="127">
        <v>0.1</v>
      </c>
      <c r="H769" s="33">
        <f>F769*(1+G769)</f>
        <v>29954.760000000002</v>
      </c>
      <c r="I769" s="34" t="s">
        <v>18</v>
      </c>
      <c r="J769" s="204">
        <f>J$143</f>
        <v>0</v>
      </c>
      <c r="K769" s="205">
        <f>J769*H769</f>
        <v>0</v>
      </c>
      <c r="L769" s="206"/>
    </row>
    <row r="770" spans="1:12" s="187" customFormat="1" x14ac:dyDescent="0.2">
      <c r="A770" s="111" t="str">
        <f>IF(F770&lt;&gt;"",1+MAX($A$7:A769),"")</f>
        <v/>
      </c>
      <c r="B770" s="45"/>
      <c r="C770" s="45"/>
      <c r="D770" s="214"/>
      <c r="E770" s="215" t="s">
        <v>48</v>
      </c>
      <c r="F770" s="216"/>
      <c r="G770" s="217"/>
      <c r="H770" s="33">
        <f>ROUNDUP((H769)/32,0)</f>
        <v>937</v>
      </c>
      <c r="I770" s="34" t="s">
        <v>49</v>
      </c>
      <c r="J770" s="204"/>
      <c r="K770" s="205"/>
      <c r="L770" s="206"/>
    </row>
    <row r="771" spans="1:12" s="187" customFormat="1" x14ac:dyDescent="0.2">
      <c r="A771" s="111" t="str">
        <f>IF(F771&lt;&gt;"",1+MAX($A$7:A770),"")</f>
        <v/>
      </c>
      <c r="B771" s="45"/>
      <c r="C771" s="45"/>
      <c r="D771" s="214"/>
      <c r="E771" s="215" t="s">
        <v>50</v>
      </c>
      <c r="F771" s="216"/>
      <c r="G771" s="217"/>
      <c r="H771" s="33">
        <f>ROUNDUP(H770*24/500,0)</f>
        <v>45</v>
      </c>
      <c r="I771" s="34" t="s">
        <v>51</v>
      </c>
      <c r="J771" s="204"/>
      <c r="K771" s="205"/>
      <c r="L771" s="206"/>
    </row>
    <row r="772" spans="1:12" s="187" customFormat="1" x14ac:dyDescent="0.2">
      <c r="A772" s="111" t="str">
        <f>IF(F772&lt;&gt;"",1+MAX($A$7:A771),"")</f>
        <v/>
      </c>
      <c r="B772" s="45"/>
      <c r="C772" s="45"/>
      <c r="D772" s="214"/>
      <c r="E772" s="215" t="s">
        <v>52</v>
      </c>
      <c r="F772" s="216"/>
      <c r="G772" s="217"/>
      <c r="H772" s="218">
        <f>ROUNDUP((H769)/200,0)</f>
        <v>150</v>
      </c>
      <c r="I772" s="34" t="s">
        <v>53</v>
      </c>
      <c r="J772" s="204"/>
      <c r="K772" s="205"/>
      <c r="L772" s="206"/>
    </row>
    <row r="773" spans="1:12" s="187" customFormat="1" x14ac:dyDescent="0.2">
      <c r="A773" s="111" t="str">
        <f>IF(F773&lt;&gt;"",1+MAX($A$7:A772),"")</f>
        <v/>
      </c>
      <c r="B773" s="45"/>
      <c r="C773" s="45"/>
      <c r="D773" s="214"/>
      <c r="E773" s="215" t="s">
        <v>54</v>
      </c>
      <c r="F773" s="216"/>
      <c r="G773" s="217"/>
      <c r="H773" s="218">
        <f>ROUNDUP((H769)*5.25/1000,0)</f>
        <v>158</v>
      </c>
      <c r="I773" s="34" t="s">
        <v>55</v>
      </c>
      <c r="J773" s="204"/>
      <c r="K773" s="205"/>
      <c r="L773" s="206"/>
    </row>
    <row r="774" spans="1:12" s="187" customFormat="1" x14ac:dyDescent="0.2">
      <c r="A774" s="111">
        <f>IF(F774&lt;&gt;"",1+MAX($A$7:A773),"")</f>
        <v>276</v>
      </c>
      <c r="B774" s="2" t="s">
        <v>112</v>
      </c>
      <c r="C774" s="2" t="s">
        <v>111</v>
      </c>
      <c r="D774" s="212"/>
      <c r="E774" s="213" t="s">
        <v>108</v>
      </c>
      <c r="F774" s="17">
        <f>345.6*9</f>
        <v>3110.4</v>
      </c>
      <c r="G774" s="127">
        <v>0.1</v>
      </c>
      <c r="H774" s="33">
        <f>F774*(1+G774)</f>
        <v>3421.4400000000005</v>
      </c>
      <c r="I774" s="34" t="s">
        <v>18</v>
      </c>
      <c r="J774" s="204">
        <f>J$160</f>
        <v>0</v>
      </c>
      <c r="K774" s="205">
        <f>J774*H774</f>
        <v>0</v>
      </c>
      <c r="L774" s="206"/>
    </row>
    <row r="775" spans="1:12" s="187" customFormat="1" x14ac:dyDescent="0.2">
      <c r="A775" s="111" t="str">
        <f>IF(F775&lt;&gt;"",1+MAX($A$7:A774),"")</f>
        <v/>
      </c>
      <c r="B775" s="45"/>
      <c r="C775" s="45"/>
      <c r="D775" s="214"/>
      <c r="E775" s="215" t="s">
        <v>48</v>
      </c>
      <c r="F775" s="216"/>
      <c r="G775" s="217"/>
      <c r="H775" s="33">
        <f>ROUNDUP((H774)/32,0)</f>
        <v>107</v>
      </c>
      <c r="I775" s="34" t="s">
        <v>49</v>
      </c>
      <c r="J775" s="204"/>
      <c r="K775" s="205"/>
      <c r="L775" s="206"/>
    </row>
    <row r="776" spans="1:12" s="187" customFormat="1" x14ac:dyDescent="0.2">
      <c r="A776" s="111" t="str">
        <f>IF(F776&lt;&gt;"",1+MAX($A$7:A775),"")</f>
        <v/>
      </c>
      <c r="B776" s="45"/>
      <c r="C776" s="45"/>
      <c r="D776" s="214"/>
      <c r="E776" s="215" t="s">
        <v>50</v>
      </c>
      <c r="F776" s="216"/>
      <c r="G776" s="217"/>
      <c r="H776" s="33">
        <f>ROUNDUP(H775*24/500,0)</f>
        <v>6</v>
      </c>
      <c r="I776" s="34" t="s">
        <v>51</v>
      </c>
      <c r="J776" s="204"/>
      <c r="K776" s="205"/>
      <c r="L776" s="206"/>
    </row>
    <row r="777" spans="1:12" s="187" customFormat="1" x14ac:dyDescent="0.2">
      <c r="A777" s="111" t="str">
        <f>IF(F777&lt;&gt;"",1+MAX($A$7:A776),"")</f>
        <v/>
      </c>
      <c r="B777" s="45"/>
      <c r="C777" s="45"/>
      <c r="D777" s="214"/>
      <c r="E777" s="215" t="s">
        <v>52</v>
      </c>
      <c r="F777" s="216"/>
      <c r="G777" s="217"/>
      <c r="H777" s="218">
        <f>ROUNDUP((H774)/200,0)</f>
        <v>18</v>
      </c>
      <c r="I777" s="34" t="s">
        <v>53</v>
      </c>
      <c r="J777" s="204"/>
      <c r="K777" s="205"/>
      <c r="L777" s="206"/>
    </row>
    <row r="778" spans="1:12" s="187" customFormat="1" x14ac:dyDescent="0.2">
      <c r="A778" s="111" t="str">
        <f>IF(F778&lt;&gt;"",1+MAX($A$7:A777),"")</f>
        <v/>
      </c>
      <c r="B778" s="45"/>
      <c r="C778" s="45"/>
      <c r="D778" s="214"/>
      <c r="E778" s="215" t="s">
        <v>54</v>
      </c>
      <c r="F778" s="216"/>
      <c r="G778" s="217"/>
      <c r="H778" s="218">
        <f>ROUNDUP((H774)*5.25/1000,0)</f>
        <v>18</v>
      </c>
      <c r="I778" s="34" t="s">
        <v>55</v>
      </c>
      <c r="J778" s="204"/>
      <c r="K778" s="205"/>
      <c r="L778" s="206"/>
    </row>
    <row r="779" spans="1:12" s="187" customFormat="1" x14ac:dyDescent="0.2">
      <c r="A779" s="111">
        <f>IF(F779&lt;&gt;"",1+MAX($A$7:A778),"")</f>
        <v>277</v>
      </c>
      <c r="B779" s="2" t="s">
        <v>112</v>
      </c>
      <c r="C779" s="2" t="s">
        <v>111</v>
      </c>
      <c r="D779" s="214"/>
      <c r="E779" s="213" t="s">
        <v>109</v>
      </c>
      <c r="F779" s="17">
        <f>1678.9*4+17.4*4</f>
        <v>6785.2000000000007</v>
      </c>
      <c r="G779" s="127">
        <v>0.1</v>
      </c>
      <c r="H779" s="33">
        <f>F779*(1+G779)</f>
        <v>7463.7200000000012</v>
      </c>
      <c r="I779" s="34" t="s">
        <v>15</v>
      </c>
      <c r="J779" s="204">
        <f>J$148</f>
        <v>0</v>
      </c>
      <c r="K779" s="205">
        <f>J779*H779</f>
        <v>0</v>
      </c>
      <c r="L779" s="206"/>
    </row>
    <row r="780" spans="1:12" s="187" customFormat="1" x14ac:dyDescent="0.2">
      <c r="A780" s="111" t="str">
        <f>IF(F780&lt;&gt;"",1+MAX($A$7:A779),"")</f>
        <v/>
      </c>
      <c r="B780" s="2"/>
      <c r="C780" s="2"/>
      <c r="D780" s="214"/>
      <c r="E780" s="213"/>
      <c r="F780" s="17"/>
      <c r="G780" s="127"/>
      <c r="H780" s="33"/>
      <c r="I780" s="34"/>
      <c r="J780" s="204"/>
      <c r="K780" s="205"/>
      <c r="L780" s="206"/>
    </row>
    <row r="781" spans="1:12" s="187" customFormat="1" x14ac:dyDescent="0.2">
      <c r="A781" s="111" t="str">
        <f>IF(F781&lt;&gt;"",1+MAX($A$7:A780),"")</f>
        <v/>
      </c>
      <c r="B781" s="207"/>
      <c r="C781" s="207"/>
      <c r="D781" s="201"/>
      <c r="E781" s="208" t="s">
        <v>114</v>
      </c>
      <c r="F781" s="203"/>
      <c r="G781" s="25"/>
      <c r="H781" s="209"/>
      <c r="I781" s="5"/>
      <c r="J781" s="210"/>
      <c r="K781" s="211"/>
      <c r="L781" s="206"/>
    </row>
    <row r="782" spans="1:12" s="187" customFormat="1" x14ac:dyDescent="0.2">
      <c r="A782" s="111">
        <f>IF(F782&lt;&gt;"",1+MAX($A$7:A781),"")</f>
        <v>278</v>
      </c>
      <c r="B782" s="2" t="s">
        <v>112</v>
      </c>
      <c r="C782" s="2" t="s">
        <v>111</v>
      </c>
      <c r="D782" s="212"/>
      <c r="E782" s="213" t="s">
        <v>107</v>
      </c>
      <c r="F782" s="17">
        <f>8.2*9</f>
        <v>73.8</v>
      </c>
      <c r="G782" s="127">
        <v>0.1</v>
      </c>
      <c r="H782" s="33">
        <f>F782*(1+G782)</f>
        <v>81.180000000000007</v>
      </c>
      <c r="I782" s="34" t="s">
        <v>18</v>
      </c>
      <c r="J782" s="204">
        <f>J$143</f>
        <v>0</v>
      </c>
      <c r="K782" s="205">
        <f>J782*H782</f>
        <v>0</v>
      </c>
      <c r="L782" s="206"/>
    </row>
    <row r="783" spans="1:12" s="187" customFormat="1" x14ac:dyDescent="0.2">
      <c r="A783" s="111" t="str">
        <f>IF(F783&lt;&gt;"",1+MAX($A$7:A782),"")</f>
        <v/>
      </c>
      <c r="B783" s="45"/>
      <c r="C783" s="45"/>
      <c r="D783" s="214"/>
      <c r="E783" s="215" t="s">
        <v>48</v>
      </c>
      <c r="F783" s="216"/>
      <c r="G783" s="217"/>
      <c r="H783" s="33">
        <f>ROUNDUP((H782)/32,0)</f>
        <v>3</v>
      </c>
      <c r="I783" s="34" t="s">
        <v>49</v>
      </c>
      <c r="J783" s="204"/>
      <c r="K783" s="205"/>
      <c r="L783" s="206"/>
    </row>
    <row r="784" spans="1:12" s="187" customFormat="1" x14ac:dyDescent="0.2">
      <c r="A784" s="111" t="str">
        <f>IF(F784&lt;&gt;"",1+MAX($A$7:A783),"")</f>
        <v/>
      </c>
      <c r="B784" s="45"/>
      <c r="C784" s="45"/>
      <c r="D784" s="214"/>
      <c r="E784" s="215" t="s">
        <v>50</v>
      </c>
      <c r="F784" s="216"/>
      <c r="G784" s="217"/>
      <c r="H784" s="33">
        <f>ROUNDUP(H783*24/500,0)</f>
        <v>1</v>
      </c>
      <c r="I784" s="34" t="s">
        <v>51</v>
      </c>
      <c r="J784" s="204"/>
      <c r="K784" s="205"/>
      <c r="L784" s="206"/>
    </row>
    <row r="785" spans="1:12" s="187" customFormat="1" x14ac:dyDescent="0.2">
      <c r="A785" s="111" t="str">
        <f>IF(F785&lt;&gt;"",1+MAX($A$7:A784),"")</f>
        <v/>
      </c>
      <c r="B785" s="45"/>
      <c r="C785" s="45"/>
      <c r="D785" s="214"/>
      <c r="E785" s="215" t="s">
        <v>52</v>
      </c>
      <c r="F785" s="216"/>
      <c r="G785" s="217"/>
      <c r="H785" s="218">
        <f>ROUNDUP((H782)/200,0)</f>
        <v>1</v>
      </c>
      <c r="I785" s="34" t="s">
        <v>53</v>
      </c>
      <c r="J785" s="204"/>
      <c r="K785" s="205"/>
      <c r="L785" s="206"/>
    </row>
    <row r="786" spans="1:12" s="187" customFormat="1" x14ac:dyDescent="0.2">
      <c r="A786" s="111" t="str">
        <f>IF(F786&lt;&gt;"",1+MAX($A$7:A785),"")</f>
        <v/>
      </c>
      <c r="B786" s="45"/>
      <c r="C786" s="45"/>
      <c r="D786" s="214"/>
      <c r="E786" s="215" t="s">
        <v>54</v>
      </c>
      <c r="F786" s="216"/>
      <c r="G786" s="217"/>
      <c r="H786" s="218">
        <f>ROUNDUP((H782)*5.25/1000,0)</f>
        <v>1</v>
      </c>
      <c r="I786" s="34" t="s">
        <v>55</v>
      </c>
      <c r="J786" s="204"/>
      <c r="K786" s="205"/>
      <c r="L786" s="206"/>
    </row>
    <row r="787" spans="1:12" s="187" customFormat="1" x14ac:dyDescent="0.2">
      <c r="A787" s="111">
        <f>IF(F787&lt;&gt;"",1+MAX($A$7:A786),"")</f>
        <v>279</v>
      </c>
      <c r="B787" s="2" t="s">
        <v>112</v>
      </c>
      <c r="C787" s="2" t="s">
        <v>111</v>
      </c>
      <c r="D787" s="212"/>
      <c r="E787" s="213" t="s">
        <v>108</v>
      </c>
      <c r="F787" s="17">
        <f>8.2*9</f>
        <v>73.8</v>
      </c>
      <c r="G787" s="127">
        <v>0.1</v>
      </c>
      <c r="H787" s="33">
        <f>F787*(1+G787)</f>
        <v>81.180000000000007</v>
      </c>
      <c r="I787" s="34" t="s">
        <v>18</v>
      </c>
      <c r="J787" s="204">
        <f>J$160</f>
        <v>0</v>
      </c>
      <c r="K787" s="205">
        <f>J787*H787</f>
        <v>0</v>
      </c>
      <c r="L787" s="206"/>
    </row>
    <row r="788" spans="1:12" s="187" customFormat="1" x14ac:dyDescent="0.2">
      <c r="A788" s="111" t="str">
        <f>IF(F788&lt;&gt;"",1+MAX($A$7:A787),"")</f>
        <v/>
      </c>
      <c r="B788" s="45"/>
      <c r="C788" s="45"/>
      <c r="D788" s="214"/>
      <c r="E788" s="215" t="s">
        <v>48</v>
      </c>
      <c r="F788" s="216"/>
      <c r="G788" s="217"/>
      <c r="H788" s="33">
        <f>ROUNDUP((H787)/32,0)</f>
        <v>3</v>
      </c>
      <c r="I788" s="34" t="s">
        <v>49</v>
      </c>
      <c r="J788" s="204"/>
      <c r="K788" s="205"/>
      <c r="L788" s="206"/>
    </row>
    <row r="789" spans="1:12" s="187" customFormat="1" x14ac:dyDescent="0.2">
      <c r="A789" s="111" t="str">
        <f>IF(F789&lt;&gt;"",1+MAX($A$7:A788),"")</f>
        <v/>
      </c>
      <c r="B789" s="45"/>
      <c r="C789" s="45"/>
      <c r="D789" s="214"/>
      <c r="E789" s="215" t="s">
        <v>50</v>
      </c>
      <c r="F789" s="216"/>
      <c r="G789" s="217"/>
      <c r="H789" s="33">
        <f>ROUNDUP(H788*24/500,0)</f>
        <v>1</v>
      </c>
      <c r="I789" s="34" t="s">
        <v>51</v>
      </c>
      <c r="J789" s="204"/>
      <c r="K789" s="205"/>
      <c r="L789" s="206"/>
    </row>
    <row r="790" spans="1:12" s="187" customFormat="1" x14ac:dyDescent="0.2">
      <c r="A790" s="111" t="str">
        <f>IF(F790&lt;&gt;"",1+MAX($A$7:A789),"")</f>
        <v/>
      </c>
      <c r="B790" s="45"/>
      <c r="C790" s="45"/>
      <c r="D790" s="214"/>
      <c r="E790" s="215" t="s">
        <v>52</v>
      </c>
      <c r="F790" s="216"/>
      <c r="G790" s="217"/>
      <c r="H790" s="218">
        <f>ROUNDUP((H787)/200,0)</f>
        <v>1</v>
      </c>
      <c r="I790" s="34" t="s">
        <v>53</v>
      </c>
      <c r="J790" s="204"/>
      <c r="K790" s="205"/>
      <c r="L790" s="206"/>
    </row>
    <row r="791" spans="1:12" s="187" customFormat="1" x14ac:dyDescent="0.2">
      <c r="A791" s="111" t="str">
        <f>IF(F791&lt;&gt;"",1+MAX($A$7:A790),"")</f>
        <v/>
      </c>
      <c r="B791" s="45"/>
      <c r="C791" s="45"/>
      <c r="D791" s="214"/>
      <c r="E791" s="215" t="s">
        <v>54</v>
      </c>
      <c r="F791" s="216"/>
      <c r="G791" s="217"/>
      <c r="H791" s="218">
        <f>ROUNDUP((H787)*5.25/1000,0)</f>
        <v>1</v>
      </c>
      <c r="I791" s="34" t="s">
        <v>55</v>
      </c>
      <c r="J791" s="204"/>
      <c r="K791" s="205"/>
      <c r="L791" s="206"/>
    </row>
    <row r="792" spans="1:12" s="187" customFormat="1" x14ac:dyDescent="0.2">
      <c r="A792" s="111">
        <f>IF(F792&lt;&gt;"",1+MAX($A$7:A791),"")</f>
        <v>280</v>
      </c>
      <c r="B792" s="2" t="s">
        <v>112</v>
      </c>
      <c r="C792" s="2" t="s">
        <v>111</v>
      </c>
      <c r="D792" s="214"/>
      <c r="E792" s="213" t="s">
        <v>109</v>
      </c>
      <c r="F792" s="17">
        <f>8.2*4</f>
        <v>32.799999999999997</v>
      </c>
      <c r="G792" s="127">
        <v>0.1</v>
      </c>
      <c r="H792" s="33">
        <f>F792*(1+G792)</f>
        <v>36.08</v>
      </c>
      <c r="I792" s="34" t="s">
        <v>15</v>
      </c>
      <c r="J792" s="204">
        <f>J$148</f>
        <v>0</v>
      </c>
      <c r="K792" s="205">
        <f>J792*H792</f>
        <v>0</v>
      </c>
      <c r="L792" s="206"/>
    </row>
    <row r="793" spans="1:12" s="187" customFormat="1" x14ac:dyDescent="0.2">
      <c r="A793" s="111" t="str">
        <f>IF(F793&lt;&gt;"",1+MAX($A$7:A792),"")</f>
        <v/>
      </c>
      <c r="B793" s="2"/>
      <c r="C793" s="2"/>
      <c r="D793" s="214"/>
      <c r="E793" s="213"/>
      <c r="F793" s="17"/>
      <c r="G793" s="127"/>
      <c r="H793" s="33"/>
      <c r="I793" s="34"/>
      <c r="J793" s="204"/>
      <c r="K793" s="205"/>
      <c r="L793" s="206"/>
    </row>
    <row r="794" spans="1:12" s="187" customFormat="1" x14ac:dyDescent="0.2">
      <c r="A794" s="111" t="str">
        <f>IF(F794&lt;&gt;"",1+MAX($A$7:A793),"")</f>
        <v/>
      </c>
      <c r="B794" s="207"/>
      <c r="C794" s="207"/>
      <c r="D794" s="201"/>
      <c r="E794" s="208" t="s">
        <v>115</v>
      </c>
      <c r="F794" s="203"/>
      <c r="G794" s="25"/>
      <c r="H794" s="209"/>
      <c r="I794" s="5"/>
      <c r="J794" s="210"/>
      <c r="K794" s="211"/>
      <c r="L794" s="206"/>
    </row>
    <row r="795" spans="1:12" s="187" customFormat="1" ht="31.5" x14ac:dyDescent="0.2">
      <c r="A795" s="111">
        <f>IF(F795&lt;&gt;"",1+MAX($A$7:A794),"")</f>
        <v>281</v>
      </c>
      <c r="B795" s="2" t="s">
        <v>112</v>
      </c>
      <c r="C795" s="2" t="s">
        <v>111</v>
      </c>
      <c r="D795" s="212"/>
      <c r="E795" s="213" t="s">
        <v>72</v>
      </c>
      <c r="F795" s="17">
        <f>7.4*9*2*2</f>
        <v>266.40000000000003</v>
      </c>
      <c r="G795" s="127">
        <v>0.1</v>
      </c>
      <c r="H795" s="33">
        <f>F795*(1+G795)</f>
        <v>293.04000000000008</v>
      </c>
      <c r="I795" s="34" t="s">
        <v>18</v>
      </c>
      <c r="J795" s="204">
        <f>J$143</f>
        <v>0</v>
      </c>
      <c r="K795" s="205">
        <f>J795*H795</f>
        <v>0</v>
      </c>
      <c r="L795" s="206"/>
    </row>
    <row r="796" spans="1:12" s="187" customFormat="1" x14ac:dyDescent="0.2">
      <c r="A796" s="111" t="str">
        <f>IF(F796&lt;&gt;"",1+MAX($A$7:A795),"")</f>
        <v/>
      </c>
      <c r="B796" s="45"/>
      <c r="C796" s="45"/>
      <c r="D796" s="214"/>
      <c r="E796" s="215" t="s">
        <v>48</v>
      </c>
      <c r="F796" s="216"/>
      <c r="G796" s="217"/>
      <c r="H796" s="33">
        <f>ROUNDUP((H795)/32,0)</f>
        <v>10</v>
      </c>
      <c r="I796" s="34" t="s">
        <v>49</v>
      </c>
      <c r="J796" s="204"/>
      <c r="K796" s="205"/>
      <c r="L796" s="206"/>
    </row>
    <row r="797" spans="1:12" s="187" customFormat="1" x14ac:dyDescent="0.2">
      <c r="A797" s="111" t="str">
        <f>IF(F797&lt;&gt;"",1+MAX($A$7:A796),"")</f>
        <v/>
      </c>
      <c r="B797" s="45"/>
      <c r="C797" s="45"/>
      <c r="D797" s="214"/>
      <c r="E797" s="215" t="s">
        <v>50</v>
      </c>
      <c r="F797" s="216"/>
      <c r="G797" s="217"/>
      <c r="H797" s="33">
        <f>ROUNDUP(H796*24/500,0)</f>
        <v>1</v>
      </c>
      <c r="I797" s="34" t="s">
        <v>51</v>
      </c>
      <c r="J797" s="204"/>
      <c r="K797" s="205"/>
      <c r="L797" s="206"/>
    </row>
    <row r="798" spans="1:12" s="187" customFormat="1" x14ac:dyDescent="0.2">
      <c r="A798" s="111" t="str">
        <f>IF(F798&lt;&gt;"",1+MAX($A$7:A797),"")</f>
        <v/>
      </c>
      <c r="B798" s="45"/>
      <c r="C798" s="45"/>
      <c r="D798" s="214"/>
      <c r="E798" s="215" t="s">
        <v>52</v>
      </c>
      <c r="F798" s="216"/>
      <c r="G798" s="217"/>
      <c r="H798" s="218">
        <f>ROUNDUP((H795)/200,0)</f>
        <v>2</v>
      </c>
      <c r="I798" s="34" t="s">
        <v>53</v>
      </c>
      <c r="J798" s="204"/>
      <c r="K798" s="205"/>
      <c r="L798" s="206"/>
    </row>
    <row r="799" spans="1:12" s="187" customFormat="1" x14ac:dyDescent="0.2">
      <c r="A799" s="111" t="str">
        <f>IF(F799&lt;&gt;"",1+MAX($A$7:A798),"")</f>
        <v/>
      </c>
      <c r="B799" s="45"/>
      <c r="C799" s="45"/>
      <c r="D799" s="214"/>
      <c r="E799" s="215" t="s">
        <v>54</v>
      </c>
      <c r="F799" s="216"/>
      <c r="G799" s="217"/>
      <c r="H799" s="218">
        <f>ROUNDUP((H795)*5.25/1000,0)</f>
        <v>2</v>
      </c>
      <c r="I799" s="34" t="s">
        <v>55</v>
      </c>
      <c r="J799" s="204"/>
      <c r="K799" s="205"/>
      <c r="L799" s="206"/>
    </row>
    <row r="800" spans="1:12" s="187" customFormat="1" x14ac:dyDescent="0.2">
      <c r="A800" s="111">
        <f>IF(F800&lt;&gt;"",1+MAX($A$7:A799),"")</f>
        <v>282</v>
      </c>
      <c r="B800" s="2" t="s">
        <v>112</v>
      </c>
      <c r="C800" s="2" t="s">
        <v>111</v>
      </c>
      <c r="D800" s="214"/>
      <c r="E800" s="213" t="s">
        <v>109</v>
      </c>
      <c r="F800" s="17">
        <f>7.4*4</f>
        <v>29.6</v>
      </c>
      <c r="G800" s="127">
        <v>0.1</v>
      </c>
      <c r="H800" s="33">
        <f>F800*(1+G800)</f>
        <v>32.56</v>
      </c>
      <c r="I800" s="34" t="s">
        <v>15</v>
      </c>
      <c r="J800" s="204">
        <f>J$148</f>
        <v>0</v>
      </c>
      <c r="K800" s="205">
        <f>J800*H800</f>
        <v>0</v>
      </c>
      <c r="L800" s="206"/>
    </row>
    <row r="801" spans="1:12" s="187" customFormat="1" x14ac:dyDescent="0.2">
      <c r="A801" s="111">
        <f>IF(F801&lt;&gt;"",1+MAX($A$7:A800),"")</f>
        <v>283</v>
      </c>
      <c r="B801" s="2" t="s">
        <v>112</v>
      </c>
      <c r="C801" s="2" t="s">
        <v>111</v>
      </c>
      <c r="D801" s="212"/>
      <c r="E801" s="213" t="s">
        <v>116</v>
      </c>
      <c r="F801" s="17">
        <f>7.4*9</f>
        <v>66.600000000000009</v>
      </c>
      <c r="G801" s="127">
        <v>0.1</v>
      </c>
      <c r="H801" s="33">
        <f>F801*(1+G801)</f>
        <v>73.260000000000019</v>
      </c>
      <c r="I801" s="34" t="s">
        <v>18</v>
      </c>
      <c r="J801" s="204">
        <f>J$251</f>
        <v>0</v>
      </c>
      <c r="K801" s="205">
        <f>J801*H801</f>
        <v>0</v>
      </c>
      <c r="L801" s="206"/>
    </row>
    <row r="802" spans="1:12" s="187" customFormat="1" x14ac:dyDescent="0.2">
      <c r="A802" s="111" t="str">
        <f>IF(F802&lt;&gt;"",1+MAX($A$7:A801),"")</f>
        <v/>
      </c>
      <c r="B802" s="2"/>
      <c r="C802" s="2"/>
      <c r="D802" s="214"/>
      <c r="E802" s="213"/>
      <c r="F802" s="17"/>
      <c r="G802" s="127"/>
      <c r="H802" s="33"/>
      <c r="I802" s="34"/>
      <c r="J802" s="204"/>
      <c r="K802" s="205"/>
      <c r="L802" s="206"/>
    </row>
    <row r="803" spans="1:12" s="187" customFormat="1" x14ac:dyDescent="0.2">
      <c r="A803" s="111" t="str">
        <f>IF(F803&lt;&gt;"",1+MAX($A$7:A802),"")</f>
        <v/>
      </c>
      <c r="B803" s="207"/>
      <c r="C803" s="207"/>
      <c r="D803" s="201"/>
      <c r="E803" s="208" t="s">
        <v>117</v>
      </c>
      <c r="F803" s="203"/>
      <c r="G803" s="25"/>
      <c r="H803" s="209"/>
      <c r="I803" s="5"/>
      <c r="J803" s="210"/>
      <c r="K803" s="211"/>
      <c r="L803" s="206"/>
    </row>
    <row r="804" spans="1:12" s="187" customFormat="1" ht="31.5" x14ac:dyDescent="0.2">
      <c r="A804" s="111">
        <f>IF(F804&lt;&gt;"",1+MAX($A$7:A803),"")</f>
        <v>284</v>
      </c>
      <c r="B804" s="2" t="s">
        <v>112</v>
      </c>
      <c r="C804" s="2" t="s">
        <v>111</v>
      </c>
      <c r="D804" s="212"/>
      <c r="E804" s="213" t="s">
        <v>72</v>
      </c>
      <c r="F804" s="17">
        <f>51.5*9*2*2</f>
        <v>1854</v>
      </c>
      <c r="G804" s="127">
        <v>0.1</v>
      </c>
      <c r="H804" s="33">
        <f>F804*(1+G804)</f>
        <v>2039.4</v>
      </c>
      <c r="I804" s="34" t="s">
        <v>18</v>
      </c>
      <c r="J804" s="204">
        <f>J$143</f>
        <v>0</v>
      </c>
      <c r="K804" s="205">
        <f>J804*H804</f>
        <v>0</v>
      </c>
      <c r="L804" s="206"/>
    </row>
    <row r="805" spans="1:12" s="187" customFormat="1" x14ac:dyDescent="0.2">
      <c r="A805" s="111" t="str">
        <f>IF(F805&lt;&gt;"",1+MAX($A$7:A804),"")</f>
        <v/>
      </c>
      <c r="B805" s="45"/>
      <c r="C805" s="45"/>
      <c r="D805" s="214"/>
      <c r="E805" s="215" t="s">
        <v>48</v>
      </c>
      <c r="F805" s="216"/>
      <c r="G805" s="217"/>
      <c r="H805" s="33">
        <f>ROUNDUP((H804)/32,0)</f>
        <v>64</v>
      </c>
      <c r="I805" s="34" t="s">
        <v>49</v>
      </c>
      <c r="J805" s="204"/>
      <c r="K805" s="205"/>
      <c r="L805" s="206"/>
    </row>
    <row r="806" spans="1:12" s="187" customFormat="1" x14ac:dyDescent="0.2">
      <c r="A806" s="111" t="str">
        <f>IF(F806&lt;&gt;"",1+MAX($A$7:A805),"")</f>
        <v/>
      </c>
      <c r="B806" s="45"/>
      <c r="C806" s="45"/>
      <c r="D806" s="214"/>
      <c r="E806" s="215" t="s">
        <v>50</v>
      </c>
      <c r="F806" s="216"/>
      <c r="G806" s="217"/>
      <c r="H806" s="33">
        <f>ROUNDUP(H805*24/500,0)</f>
        <v>4</v>
      </c>
      <c r="I806" s="34" t="s">
        <v>51</v>
      </c>
      <c r="J806" s="204"/>
      <c r="K806" s="205"/>
      <c r="L806" s="206"/>
    </row>
    <row r="807" spans="1:12" s="187" customFormat="1" x14ac:dyDescent="0.2">
      <c r="A807" s="111" t="str">
        <f>IF(F807&lt;&gt;"",1+MAX($A$7:A806),"")</f>
        <v/>
      </c>
      <c r="B807" s="45"/>
      <c r="C807" s="45"/>
      <c r="D807" s="214"/>
      <c r="E807" s="215" t="s">
        <v>52</v>
      </c>
      <c r="F807" s="216"/>
      <c r="G807" s="217"/>
      <c r="H807" s="218">
        <f>ROUNDUP((H804)/200,0)</f>
        <v>11</v>
      </c>
      <c r="I807" s="34" t="s">
        <v>53</v>
      </c>
      <c r="J807" s="204"/>
      <c r="K807" s="205"/>
      <c r="L807" s="206"/>
    </row>
    <row r="808" spans="1:12" s="187" customFormat="1" x14ac:dyDescent="0.2">
      <c r="A808" s="111" t="str">
        <f>IF(F808&lt;&gt;"",1+MAX($A$7:A807),"")</f>
        <v/>
      </c>
      <c r="B808" s="45"/>
      <c r="C808" s="45"/>
      <c r="D808" s="214"/>
      <c r="E808" s="215" t="s">
        <v>54</v>
      </c>
      <c r="F808" s="216"/>
      <c r="G808" s="217"/>
      <c r="H808" s="218">
        <f>ROUNDUP((H804)*5.25/1000,0)</f>
        <v>11</v>
      </c>
      <c r="I808" s="34" t="s">
        <v>55</v>
      </c>
      <c r="J808" s="204"/>
      <c r="K808" s="205"/>
      <c r="L808" s="206"/>
    </row>
    <row r="809" spans="1:12" s="187" customFormat="1" x14ac:dyDescent="0.2">
      <c r="A809" s="111">
        <f>IF(F809&lt;&gt;"",1+MAX($A$7:A808),"")</f>
        <v>285</v>
      </c>
      <c r="B809" s="2" t="s">
        <v>112</v>
      </c>
      <c r="C809" s="2" t="s">
        <v>111</v>
      </c>
      <c r="D809" s="214"/>
      <c r="E809" s="213" t="s">
        <v>109</v>
      </c>
      <c r="F809" s="17">
        <f>51.5*4</f>
        <v>206</v>
      </c>
      <c r="G809" s="127">
        <v>0.1</v>
      </c>
      <c r="H809" s="33">
        <f>F809*(1+G809)</f>
        <v>226.60000000000002</v>
      </c>
      <c r="I809" s="34" t="s">
        <v>15</v>
      </c>
      <c r="J809" s="204">
        <f>J$148</f>
        <v>0</v>
      </c>
      <c r="K809" s="205">
        <f>J809*H809</f>
        <v>0</v>
      </c>
      <c r="L809" s="206"/>
    </row>
    <row r="810" spans="1:12" s="187" customFormat="1" x14ac:dyDescent="0.2">
      <c r="A810" s="111">
        <f>IF(F810&lt;&gt;"",1+MAX($A$7:A809),"")</f>
        <v>286</v>
      </c>
      <c r="B810" s="2" t="s">
        <v>112</v>
      </c>
      <c r="C810" s="2" t="s">
        <v>111</v>
      </c>
      <c r="D810" s="212"/>
      <c r="E810" s="213" t="s">
        <v>118</v>
      </c>
      <c r="F810" s="17">
        <f>51.5*9</f>
        <v>463.5</v>
      </c>
      <c r="G810" s="127">
        <v>0.1</v>
      </c>
      <c r="H810" s="33">
        <f>F810*(1+G810)</f>
        <v>509.85</v>
      </c>
      <c r="I810" s="34" t="s">
        <v>18</v>
      </c>
      <c r="J810" s="204">
        <f>J$187</f>
        <v>0</v>
      </c>
      <c r="K810" s="205">
        <f>J810*H810</f>
        <v>0</v>
      </c>
      <c r="L810" s="206"/>
    </row>
    <row r="811" spans="1:12" s="187" customFormat="1" x14ac:dyDescent="0.2">
      <c r="A811" s="111" t="str">
        <f>IF(F811&lt;&gt;"",1+MAX($A$7:A810),"")</f>
        <v/>
      </c>
      <c r="B811" s="2"/>
      <c r="C811" s="2"/>
      <c r="D811" s="214"/>
      <c r="E811" s="213"/>
      <c r="F811" s="17"/>
      <c r="G811" s="127"/>
      <c r="H811" s="33"/>
      <c r="I811" s="34"/>
      <c r="J811" s="204"/>
      <c r="K811" s="205"/>
      <c r="L811" s="206"/>
    </row>
    <row r="812" spans="1:12" s="187" customFormat="1" x14ac:dyDescent="0.2">
      <c r="A812" s="111" t="str">
        <f>IF(F812&lt;&gt;"",1+MAX($A$7:A811),"")</f>
        <v/>
      </c>
      <c r="B812" s="207"/>
      <c r="C812" s="207"/>
      <c r="D812" s="201"/>
      <c r="E812" s="208" t="s">
        <v>120</v>
      </c>
      <c r="F812" s="203"/>
      <c r="G812" s="25"/>
      <c r="H812" s="209"/>
      <c r="I812" s="5"/>
      <c r="J812" s="210"/>
      <c r="K812" s="211"/>
      <c r="L812" s="206"/>
    </row>
    <row r="813" spans="1:12" s="187" customFormat="1" ht="31.5" x14ac:dyDescent="0.2">
      <c r="A813" s="111">
        <f>IF(F813&lt;&gt;"",1+MAX($A$7:A812),"")</f>
        <v>287</v>
      </c>
      <c r="B813" s="2" t="s">
        <v>112</v>
      </c>
      <c r="C813" s="2" t="s">
        <v>111</v>
      </c>
      <c r="D813" s="212"/>
      <c r="E813" s="213" t="s">
        <v>72</v>
      </c>
      <c r="F813" s="17">
        <f>11.3*9*3</f>
        <v>305.10000000000002</v>
      </c>
      <c r="G813" s="127">
        <v>0.1</v>
      </c>
      <c r="H813" s="33">
        <f>F813*(1+G813)</f>
        <v>335.61000000000007</v>
      </c>
      <c r="I813" s="34" t="s">
        <v>18</v>
      </c>
      <c r="J813" s="204">
        <f>J$143</f>
        <v>0</v>
      </c>
      <c r="K813" s="205">
        <f>J813*H813</f>
        <v>0</v>
      </c>
      <c r="L813" s="206"/>
    </row>
    <row r="814" spans="1:12" s="187" customFormat="1" x14ac:dyDescent="0.2">
      <c r="A814" s="111" t="str">
        <f>IF(F814&lt;&gt;"",1+MAX($A$7:A813),"")</f>
        <v/>
      </c>
      <c r="B814" s="45"/>
      <c r="C814" s="45"/>
      <c r="D814" s="214"/>
      <c r="E814" s="215" t="s">
        <v>48</v>
      </c>
      <c r="F814" s="216"/>
      <c r="G814" s="217"/>
      <c r="H814" s="33">
        <f>ROUNDUP((H813)/32,0)</f>
        <v>11</v>
      </c>
      <c r="I814" s="34" t="s">
        <v>49</v>
      </c>
      <c r="J814" s="204"/>
      <c r="K814" s="205"/>
      <c r="L814" s="206"/>
    </row>
    <row r="815" spans="1:12" s="187" customFormat="1" x14ac:dyDescent="0.2">
      <c r="A815" s="111" t="str">
        <f>IF(F815&lt;&gt;"",1+MAX($A$7:A814),"")</f>
        <v/>
      </c>
      <c r="B815" s="45"/>
      <c r="C815" s="45"/>
      <c r="D815" s="214"/>
      <c r="E815" s="215" t="s">
        <v>50</v>
      </c>
      <c r="F815" s="216"/>
      <c r="G815" s="217"/>
      <c r="H815" s="33">
        <f>ROUNDUP(H814*24/500,0)</f>
        <v>1</v>
      </c>
      <c r="I815" s="34" t="s">
        <v>51</v>
      </c>
      <c r="J815" s="204"/>
      <c r="K815" s="205"/>
      <c r="L815" s="206"/>
    </row>
    <row r="816" spans="1:12" s="187" customFormat="1" x14ac:dyDescent="0.2">
      <c r="A816" s="111" t="str">
        <f>IF(F816&lt;&gt;"",1+MAX($A$7:A815),"")</f>
        <v/>
      </c>
      <c r="B816" s="45"/>
      <c r="C816" s="45"/>
      <c r="D816" s="214"/>
      <c r="E816" s="215" t="s">
        <v>52</v>
      </c>
      <c r="F816" s="216"/>
      <c r="G816" s="217"/>
      <c r="H816" s="218">
        <f>ROUNDUP((H813)/200,0)</f>
        <v>2</v>
      </c>
      <c r="I816" s="34" t="s">
        <v>53</v>
      </c>
      <c r="J816" s="204"/>
      <c r="K816" s="205"/>
      <c r="L816" s="206"/>
    </row>
    <row r="817" spans="1:12" s="187" customFormat="1" x14ac:dyDescent="0.2">
      <c r="A817" s="111" t="str">
        <f>IF(F817&lt;&gt;"",1+MAX($A$7:A816),"")</f>
        <v/>
      </c>
      <c r="B817" s="45"/>
      <c r="C817" s="45"/>
      <c r="D817" s="214"/>
      <c r="E817" s="215" t="s">
        <v>54</v>
      </c>
      <c r="F817" s="216"/>
      <c r="G817" s="217"/>
      <c r="H817" s="218">
        <f>ROUNDUP((H813)*5.25/1000,0)</f>
        <v>2</v>
      </c>
      <c r="I817" s="34" t="s">
        <v>55</v>
      </c>
      <c r="J817" s="204"/>
      <c r="K817" s="205"/>
      <c r="L817" s="206"/>
    </row>
    <row r="818" spans="1:12" s="187" customFormat="1" x14ac:dyDescent="0.2">
      <c r="A818" s="111">
        <f>IF(F818&lt;&gt;"",1+MAX($A$7:A817),"")</f>
        <v>288</v>
      </c>
      <c r="B818" s="2" t="s">
        <v>112</v>
      </c>
      <c r="C818" s="2" t="s">
        <v>111</v>
      </c>
      <c r="D818" s="212"/>
      <c r="E818" s="213" t="s">
        <v>108</v>
      </c>
      <c r="F818" s="17">
        <f>11.3*9</f>
        <v>101.7</v>
      </c>
      <c r="G818" s="127">
        <v>0.1</v>
      </c>
      <c r="H818" s="33">
        <f>F818*(1+G818)</f>
        <v>111.87000000000002</v>
      </c>
      <c r="I818" s="34" t="s">
        <v>18</v>
      </c>
      <c r="J818" s="204">
        <f>J$160</f>
        <v>0</v>
      </c>
      <c r="K818" s="205">
        <f>J818*H818</f>
        <v>0</v>
      </c>
      <c r="L818" s="206"/>
    </row>
    <row r="819" spans="1:12" s="187" customFormat="1" x14ac:dyDescent="0.2">
      <c r="A819" s="111" t="str">
        <f>IF(F819&lt;&gt;"",1+MAX($A$7:A818),"")</f>
        <v/>
      </c>
      <c r="B819" s="45"/>
      <c r="C819" s="45"/>
      <c r="D819" s="214"/>
      <c r="E819" s="215" t="s">
        <v>48</v>
      </c>
      <c r="F819" s="216"/>
      <c r="G819" s="217"/>
      <c r="H819" s="33">
        <f>ROUNDUP((H818)/32,0)</f>
        <v>4</v>
      </c>
      <c r="I819" s="34" t="s">
        <v>49</v>
      </c>
      <c r="J819" s="204"/>
      <c r="K819" s="205"/>
      <c r="L819" s="206"/>
    </row>
    <row r="820" spans="1:12" s="187" customFormat="1" x14ac:dyDescent="0.2">
      <c r="A820" s="111" t="str">
        <f>IF(F820&lt;&gt;"",1+MAX($A$7:A819),"")</f>
        <v/>
      </c>
      <c r="B820" s="45"/>
      <c r="C820" s="45"/>
      <c r="D820" s="214"/>
      <c r="E820" s="215" t="s">
        <v>50</v>
      </c>
      <c r="F820" s="216"/>
      <c r="G820" s="217"/>
      <c r="H820" s="33">
        <f>ROUNDUP(H819*24/500,0)</f>
        <v>1</v>
      </c>
      <c r="I820" s="34" t="s">
        <v>51</v>
      </c>
      <c r="J820" s="204"/>
      <c r="K820" s="205"/>
      <c r="L820" s="206"/>
    </row>
    <row r="821" spans="1:12" s="187" customFormat="1" x14ac:dyDescent="0.2">
      <c r="A821" s="111" t="str">
        <f>IF(F821&lt;&gt;"",1+MAX($A$7:A820),"")</f>
        <v/>
      </c>
      <c r="B821" s="45"/>
      <c r="C821" s="45"/>
      <c r="D821" s="214"/>
      <c r="E821" s="215" t="s">
        <v>52</v>
      </c>
      <c r="F821" s="216"/>
      <c r="G821" s="217"/>
      <c r="H821" s="218">
        <f>ROUNDUP((H818)/200,0)</f>
        <v>1</v>
      </c>
      <c r="I821" s="34" t="s">
        <v>53</v>
      </c>
      <c r="J821" s="204"/>
      <c r="K821" s="205"/>
      <c r="L821" s="206"/>
    </row>
    <row r="822" spans="1:12" s="187" customFormat="1" x14ac:dyDescent="0.2">
      <c r="A822" s="111" t="str">
        <f>IF(F822&lt;&gt;"",1+MAX($A$7:A821),"")</f>
        <v/>
      </c>
      <c r="B822" s="45"/>
      <c r="C822" s="45"/>
      <c r="D822" s="214"/>
      <c r="E822" s="215" t="s">
        <v>54</v>
      </c>
      <c r="F822" s="216"/>
      <c r="G822" s="217"/>
      <c r="H822" s="218">
        <f>ROUNDUP((H818)*5.25/1000,0)</f>
        <v>1</v>
      </c>
      <c r="I822" s="34" t="s">
        <v>55</v>
      </c>
      <c r="J822" s="204"/>
      <c r="K822" s="205"/>
      <c r="L822" s="206"/>
    </row>
    <row r="823" spans="1:12" s="187" customFormat="1" x14ac:dyDescent="0.2">
      <c r="A823" s="111">
        <f>IF(F823&lt;&gt;"",1+MAX($A$7:A822),"")</f>
        <v>289</v>
      </c>
      <c r="B823" s="2" t="s">
        <v>112</v>
      </c>
      <c r="C823" s="2" t="s">
        <v>111</v>
      </c>
      <c r="D823" s="214"/>
      <c r="E823" s="213" t="s">
        <v>109</v>
      </c>
      <c r="F823" s="17">
        <f>11.3*4</f>
        <v>45.2</v>
      </c>
      <c r="G823" s="127">
        <v>0.1</v>
      </c>
      <c r="H823" s="33">
        <f>F823*(1+G823)</f>
        <v>49.720000000000006</v>
      </c>
      <c r="I823" s="34" t="s">
        <v>15</v>
      </c>
      <c r="J823" s="204">
        <f>J$148</f>
        <v>0</v>
      </c>
      <c r="K823" s="205">
        <f>J823*H823</f>
        <v>0</v>
      </c>
      <c r="L823" s="206"/>
    </row>
    <row r="824" spans="1:12" s="187" customFormat="1" x14ac:dyDescent="0.2">
      <c r="A824" s="111">
        <f>IF(F824&lt;&gt;"",1+MAX($A$7:A823),"")</f>
        <v>290</v>
      </c>
      <c r="B824" s="2" t="s">
        <v>112</v>
      </c>
      <c r="C824" s="2" t="s">
        <v>111</v>
      </c>
      <c r="D824" s="212"/>
      <c r="E824" s="213" t="s">
        <v>119</v>
      </c>
      <c r="F824" s="17">
        <f>11.3*9</f>
        <v>101.7</v>
      </c>
      <c r="G824" s="127">
        <v>0.1</v>
      </c>
      <c r="H824" s="33">
        <f>F824*(1+G824)</f>
        <v>111.87000000000002</v>
      </c>
      <c r="I824" s="34" t="s">
        <v>18</v>
      </c>
      <c r="J824" s="204">
        <f>J$226</f>
        <v>0</v>
      </c>
      <c r="K824" s="205">
        <f>J824*H824</f>
        <v>0</v>
      </c>
      <c r="L824" s="206"/>
    </row>
    <row r="825" spans="1:12" s="187" customFormat="1" x14ac:dyDescent="0.2">
      <c r="A825" s="111" t="str">
        <f>IF(F825&lt;&gt;"",1+MAX($A$7:A824),"")</f>
        <v/>
      </c>
      <c r="B825" s="2"/>
      <c r="C825" s="2"/>
      <c r="D825" s="214"/>
      <c r="E825" s="213"/>
      <c r="F825" s="17"/>
      <c r="G825" s="127"/>
      <c r="H825" s="33"/>
      <c r="I825" s="34"/>
      <c r="J825" s="204"/>
      <c r="K825" s="205"/>
      <c r="L825" s="206"/>
    </row>
    <row r="826" spans="1:12" s="187" customFormat="1" x14ac:dyDescent="0.2">
      <c r="A826" s="111" t="str">
        <f>IF(F826&lt;&gt;"",1+MAX($A$7:A825),"")</f>
        <v/>
      </c>
      <c r="B826" s="207"/>
      <c r="C826" s="207"/>
      <c r="D826" s="201"/>
      <c r="E826" s="208" t="s">
        <v>121</v>
      </c>
      <c r="F826" s="203"/>
      <c r="G826" s="25"/>
      <c r="H826" s="209"/>
      <c r="I826" s="5"/>
      <c r="J826" s="210"/>
      <c r="K826" s="211"/>
      <c r="L826" s="206"/>
    </row>
    <row r="827" spans="1:12" s="187" customFormat="1" x14ac:dyDescent="0.2">
      <c r="A827" s="111">
        <f>IF(F827&lt;&gt;"",1+MAX($A$7:A826),"")</f>
        <v>291</v>
      </c>
      <c r="B827" s="2" t="s">
        <v>112</v>
      </c>
      <c r="C827" s="2" t="s">
        <v>111</v>
      </c>
      <c r="D827" s="212"/>
      <c r="E827" s="213" t="s">
        <v>140</v>
      </c>
      <c r="F827" s="17">
        <f>10.1*9*2*2</f>
        <v>363.59999999999997</v>
      </c>
      <c r="G827" s="127">
        <v>0.1</v>
      </c>
      <c r="H827" s="33">
        <f>F827*(1+G827)</f>
        <v>399.96</v>
      </c>
      <c r="I827" s="34" t="s">
        <v>18</v>
      </c>
      <c r="J827" s="204">
        <f>J$143</f>
        <v>0</v>
      </c>
      <c r="K827" s="205">
        <f>J827*H827</f>
        <v>0</v>
      </c>
      <c r="L827" s="206"/>
    </row>
    <row r="828" spans="1:12" s="187" customFormat="1" x14ac:dyDescent="0.2">
      <c r="A828" s="111" t="str">
        <f>IF(F828&lt;&gt;"",1+MAX($A$7:A827),"")</f>
        <v/>
      </c>
      <c r="B828" s="45"/>
      <c r="C828" s="45"/>
      <c r="D828" s="214"/>
      <c r="E828" s="215" t="s">
        <v>48</v>
      </c>
      <c r="F828" s="216"/>
      <c r="G828" s="217"/>
      <c r="H828" s="33">
        <f>ROUNDUP((H827)/32,0)</f>
        <v>13</v>
      </c>
      <c r="I828" s="34" t="s">
        <v>49</v>
      </c>
      <c r="J828" s="204"/>
      <c r="K828" s="205"/>
      <c r="L828" s="206"/>
    </row>
    <row r="829" spans="1:12" s="187" customFormat="1" x14ac:dyDescent="0.2">
      <c r="A829" s="111" t="str">
        <f>IF(F829&lt;&gt;"",1+MAX($A$7:A828),"")</f>
        <v/>
      </c>
      <c r="B829" s="45"/>
      <c r="C829" s="45"/>
      <c r="D829" s="214"/>
      <c r="E829" s="215" t="s">
        <v>50</v>
      </c>
      <c r="F829" s="216"/>
      <c r="G829" s="217"/>
      <c r="H829" s="33">
        <f>ROUNDUP(H828*24/500,0)</f>
        <v>1</v>
      </c>
      <c r="I829" s="34" t="s">
        <v>51</v>
      </c>
      <c r="J829" s="204"/>
      <c r="K829" s="205"/>
      <c r="L829" s="206"/>
    </row>
    <row r="830" spans="1:12" s="187" customFormat="1" x14ac:dyDescent="0.2">
      <c r="A830" s="111" t="str">
        <f>IF(F830&lt;&gt;"",1+MAX($A$7:A829),"")</f>
        <v/>
      </c>
      <c r="B830" s="45"/>
      <c r="C830" s="45"/>
      <c r="D830" s="214"/>
      <c r="E830" s="215" t="s">
        <v>52</v>
      </c>
      <c r="F830" s="216"/>
      <c r="G830" s="217"/>
      <c r="H830" s="218">
        <f>ROUNDUP((H827)/200,0)</f>
        <v>2</v>
      </c>
      <c r="I830" s="34" t="s">
        <v>53</v>
      </c>
      <c r="J830" s="204"/>
      <c r="K830" s="205"/>
      <c r="L830" s="206"/>
    </row>
    <row r="831" spans="1:12" s="187" customFormat="1" x14ac:dyDescent="0.2">
      <c r="A831" s="111" t="str">
        <f>IF(F831&lt;&gt;"",1+MAX($A$7:A830),"")</f>
        <v/>
      </c>
      <c r="B831" s="45"/>
      <c r="C831" s="45"/>
      <c r="D831" s="214"/>
      <c r="E831" s="215" t="s">
        <v>54</v>
      </c>
      <c r="F831" s="216"/>
      <c r="G831" s="217"/>
      <c r="H831" s="218">
        <f>ROUNDUP((H827)*5.25/1000,0)</f>
        <v>3</v>
      </c>
      <c r="I831" s="34" t="s">
        <v>55</v>
      </c>
      <c r="J831" s="204"/>
      <c r="K831" s="205"/>
      <c r="L831" s="206"/>
    </row>
    <row r="832" spans="1:12" s="187" customFormat="1" x14ac:dyDescent="0.2">
      <c r="A832" s="111">
        <f>IF(F832&lt;&gt;"",1+MAX($A$7:A831),"")</f>
        <v>292</v>
      </c>
      <c r="B832" s="2" t="s">
        <v>112</v>
      </c>
      <c r="C832" s="2" t="s">
        <v>111</v>
      </c>
      <c r="D832" s="214"/>
      <c r="E832" s="213" t="s">
        <v>109</v>
      </c>
      <c r="F832" s="17">
        <f>10.1*4</f>
        <v>40.4</v>
      </c>
      <c r="G832" s="127">
        <v>0.1</v>
      </c>
      <c r="H832" s="33">
        <f>F832*(1+G832)</f>
        <v>44.440000000000005</v>
      </c>
      <c r="I832" s="34" t="s">
        <v>15</v>
      </c>
      <c r="J832" s="204">
        <f>J$148</f>
        <v>0</v>
      </c>
      <c r="K832" s="205">
        <f>J832*H832</f>
        <v>0</v>
      </c>
      <c r="L832" s="206"/>
    </row>
    <row r="833" spans="1:12" s="187" customFormat="1" x14ac:dyDescent="0.2">
      <c r="A833" s="111">
        <f>IF(F833&lt;&gt;"",1+MAX($A$7:A832),"")</f>
        <v>293</v>
      </c>
      <c r="B833" s="2" t="s">
        <v>112</v>
      </c>
      <c r="C833" s="2" t="s">
        <v>111</v>
      </c>
      <c r="D833" s="212"/>
      <c r="E833" s="213" t="s">
        <v>484</v>
      </c>
      <c r="F833" s="17">
        <f>10.1*9</f>
        <v>90.899999999999991</v>
      </c>
      <c r="G833" s="127">
        <v>0.1</v>
      </c>
      <c r="H833" s="33">
        <f>F833*(1+G833)</f>
        <v>99.99</v>
      </c>
      <c r="I833" s="34" t="s">
        <v>18</v>
      </c>
      <c r="J833" s="204">
        <f>J$276</f>
        <v>0</v>
      </c>
      <c r="K833" s="205">
        <f>J833*H833</f>
        <v>0</v>
      </c>
      <c r="L833" s="206"/>
    </row>
    <row r="834" spans="1:12" s="187" customFormat="1" x14ac:dyDescent="0.2">
      <c r="A834" s="111">
        <f>IF(F834&lt;&gt;"",1+MAX($A$7:A833),"")</f>
        <v>294</v>
      </c>
      <c r="B834" s="2" t="s">
        <v>112</v>
      </c>
      <c r="C834" s="2" t="s">
        <v>111</v>
      </c>
      <c r="D834" s="212"/>
      <c r="E834" s="213" t="s">
        <v>141</v>
      </c>
      <c r="F834" s="17">
        <f>10.1*9</f>
        <v>90.899999999999991</v>
      </c>
      <c r="G834" s="127">
        <v>0.1</v>
      </c>
      <c r="H834" s="33">
        <f>F834*(1+G834)</f>
        <v>99.99</v>
      </c>
      <c r="I834" s="34" t="s">
        <v>18</v>
      </c>
      <c r="J834" s="204">
        <f>J$442</f>
        <v>0</v>
      </c>
      <c r="K834" s="205">
        <f>J834*H834</f>
        <v>0</v>
      </c>
      <c r="L834" s="206"/>
    </row>
    <row r="835" spans="1:12" s="187" customFormat="1" x14ac:dyDescent="0.2">
      <c r="A835" s="111" t="str">
        <f>IF(F835&lt;&gt;"",1+MAX($A$7:A834),"")</f>
        <v/>
      </c>
      <c r="B835" s="2"/>
      <c r="C835" s="2"/>
      <c r="D835" s="214"/>
      <c r="E835" s="213"/>
      <c r="F835" s="17"/>
      <c r="G835" s="127"/>
      <c r="H835" s="33"/>
      <c r="I835" s="34"/>
      <c r="J835" s="204"/>
      <c r="K835" s="205"/>
      <c r="L835" s="206"/>
    </row>
    <row r="836" spans="1:12" s="187" customFormat="1" x14ac:dyDescent="0.2">
      <c r="A836" s="111" t="str">
        <f>IF(F836&lt;&gt;"",1+MAX($A$7:A835),"")</f>
        <v/>
      </c>
      <c r="B836" s="207"/>
      <c r="C836" s="207"/>
      <c r="D836" s="201"/>
      <c r="E836" s="208" t="s">
        <v>199</v>
      </c>
      <c r="F836" s="203"/>
      <c r="G836" s="25"/>
      <c r="H836" s="209"/>
      <c r="I836" s="5"/>
      <c r="J836" s="210"/>
      <c r="K836" s="211"/>
      <c r="L836" s="206"/>
    </row>
    <row r="837" spans="1:12" s="187" customFormat="1" x14ac:dyDescent="0.2">
      <c r="A837" s="111">
        <f>IF(F837&lt;&gt;"",1+MAX($A$7:A836),"")</f>
        <v>295</v>
      </c>
      <c r="B837" s="2" t="s">
        <v>112</v>
      </c>
      <c r="C837" s="2" t="s">
        <v>111</v>
      </c>
      <c r="D837" s="212"/>
      <c r="E837" s="213" t="s">
        <v>107</v>
      </c>
      <c r="F837" s="17">
        <f>297.2*9*2+106*9+9.8*9*2</f>
        <v>6479.9999999999991</v>
      </c>
      <c r="G837" s="127">
        <v>0.1</v>
      </c>
      <c r="H837" s="33">
        <f>F837*(1+G837)</f>
        <v>7128</v>
      </c>
      <c r="I837" s="34" t="s">
        <v>18</v>
      </c>
      <c r="J837" s="204">
        <f>J$143</f>
        <v>0</v>
      </c>
      <c r="K837" s="205">
        <f>J837*H837</f>
        <v>0</v>
      </c>
      <c r="L837" s="206"/>
    </row>
    <row r="838" spans="1:12" s="187" customFormat="1" x14ac:dyDescent="0.2">
      <c r="A838" s="111" t="str">
        <f>IF(F838&lt;&gt;"",1+MAX($A$7:A837),"")</f>
        <v/>
      </c>
      <c r="B838" s="45"/>
      <c r="C838" s="45"/>
      <c r="D838" s="214"/>
      <c r="E838" s="215" t="s">
        <v>48</v>
      </c>
      <c r="F838" s="216"/>
      <c r="G838" s="217"/>
      <c r="H838" s="33">
        <f>ROUNDUP((H837)/32,0)</f>
        <v>223</v>
      </c>
      <c r="I838" s="34" t="s">
        <v>49</v>
      </c>
      <c r="J838" s="204"/>
      <c r="K838" s="205"/>
      <c r="L838" s="206"/>
    </row>
    <row r="839" spans="1:12" s="187" customFormat="1" x14ac:dyDescent="0.2">
      <c r="A839" s="111" t="str">
        <f>IF(F839&lt;&gt;"",1+MAX($A$7:A838),"")</f>
        <v/>
      </c>
      <c r="B839" s="45"/>
      <c r="C839" s="45"/>
      <c r="D839" s="214"/>
      <c r="E839" s="215" t="s">
        <v>50</v>
      </c>
      <c r="F839" s="216"/>
      <c r="G839" s="217"/>
      <c r="H839" s="33">
        <f>ROUNDUP(H838*24/500,0)</f>
        <v>11</v>
      </c>
      <c r="I839" s="34" t="s">
        <v>51</v>
      </c>
      <c r="J839" s="204"/>
      <c r="K839" s="205"/>
      <c r="L839" s="206"/>
    </row>
    <row r="840" spans="1:12" s="187" customFormat="1" x14ac:dyDescent="0.2">
      <c r="A840" s="111" t="str">
        <f>IF(F840&lt;&gt;"",1+MAX($A$7:A839),"")</f>
        <v/>
      </c>
      <c r="B840" s="45"/>
      <c r="C840" s="45"/>
      <c r="D840" s="214"/>
      <c r="E840" s="215" t="s">
        <v>52</v>
      </c>
      <c r="F840" s="216"/>
      <c r="G840" s="217"/>
      <c r="H840" s="218">
        <f>ROUNDUP((H837)/200,0)</f>
        <v>36</v>
      </c>
      <c r="I840" s="34" t="s">
        <v>53</v>
      </c>
      <c r="J840" s="204"/>
      <c r="K840" s="205"/>
      <c r="L840" s="206"/>
    </row>
    <row r="841" spans="1:12" s="187" customFormat="1" x14ac:dyDescent="0.2">
      <c r="A841" s="111" t="str">
        <f>IF(F841&lt;&gt;"",1+MAX($A$7:A840),"")</f>
        <v/>
      </c>
      <c r="B841" s="45"/>
      <c r="C841" s="45"/>
      <c r="D841" s="214"/>
      <c r="E841" s="215" t="s">
        <v>54</v>
      </c>
      <c r="F841" s="216"/>
      <c r="G841" s="217"/>
      <c r="H841" s="218">
        <f>ROUNDUP((H837)*5.25/1000,0)</f>
        <v>38</v>
      </c>
      <c r="I841" s="34" t="s">
        <v>55</v>
      </c>
      <c r="J841" s="204"/>
      <c r="K841" s="205"/>
      <c r="L841" s="206"/>
    </row>
    <row r="842" spans="1:12" s="187" customFormat="1" x14ac:dyDescent="0.2">
      <c r="A842" s="111">
        <f>IF(F842&lt;&gt;"",1+MAX($A$7:A841),"")</f>
        <v>296</v>
      </c>
      <c r="B842" s="2" t="s">
        <v>112</v>
      </c>
      <c r="C842" s="2" t="s">
        <v>111</v>
      </c>
      <c r="D842" s="212"/>
      <c r="E842" s="213" t="s">
        <v>108</v>
      </c>
      <c r="F842" s="17">
        <f>106*9</f>
        <v>954</v>
      </c>
      <c r="G842" s="127">
        <v>0.1</v>
      </c>
      <c r="H842" s="33">
        <f>F842*(1+G842)</f>
        <v>1049.4000000000001</v>
      </c>
      <c r="I842" s="34" t="s">
        <v>18</v>
      </c>
      <c r="J842" s="204">
        <f>J$160</f>
        <v>0</v>
      </c>
      <c r="K842" s="205">
        <f>J842*H842</f>
        <v>0</v>
      </c>
      <c r="L842" s="206"/>
    </row>
    <row r="843" spans="1:12" s="187" customFormat="1" x14ac:dyDescent="0.2">
      <c r="A843" s="111" t="str">
        <f>IF(F843&lt;&gt;"",1+MAX($A$7:A842),"")</f>
        <v/>
      </c>
      <c r="B843" s="45"/>
      <c r="C843" s="45"/>
      <c r="D843" s="214"/>
      <c r="E843" s="215" t="s">
        <v>48</v>
      </c>
      <c r="F843" s="216"/>
      <c r="G843" s="217"/>
      <c r="H843" s="33">
        <f>ROUNDUP((H842)/32,0)</f>
        <v>33</v>
      </c>
      <c r="I843" s="34" t="s">
        <v>49</v>
      </c>
      <c r="J843" s="204"/>
      <c r="K843" s="205"/>
      <c r="L843" s="206"/>
    </row>
    <row r="844" spans="1:12" s="187" customFormat="1" x14ac:dyDescent="0.2">
      <c r="A844" s="111" t="str">
        <f>IF(F844&lt;&gt;"",1+MAX($A$7:A843),"")</f>
        <v/>
      </c>
      <c r="B844" s="45"/>
      <c r="C844" s="45"/>
      <c r="D844" s="214"/>
      <c r="E844" s="215" t="s">
        <v>50</v>
      </c>
      <c r="F844" s="216"/>
      <c r="G844" s="217"/>
      <c r="H844" s="33">
        <f>ROUNDUP(H843*24/500,0)</f>
        <v>2</v>
      </c>
      <c r="I844" s="34" t="s">
        <v>51</v>
      </c>
      <c r="J844" s="204"/>
      <c r="K844" s="205"/>
      <c r="L844" s="206"/>
    </row>
    <row r="845" spans="1:12" s="187" customFormat="1" x14ac:dyDescent="0.2">
      <c r="A845" s="111" t="str">
        <f>IF(F845&lt;&gt;"",1+MAX($A$7:A844),"")</f>
        <v/>
      </c>
      <c r="B845" s="45"/>
      <c r="C845" s="45"/>
      <c r="D845" s="214"/>
      <c r="E845" s="215" t="s">
        <v>52</v>
      </c>
      <c r="F845" s="216"/>
      <c r="G845" s="217"/>
      <c r="H845" s="218">
        <f>ROUNDUP((H842)/200,0)</f>
        <v>6</v>
      </c>
      <c r="I845" s="34" t="s">
        <v>53</v>
      </c>
      <c r="J845" s="204"/>
      <c r="K845" s="205"/>
      <c r="L845" s="206"/>
    </row>
    <row r="846" spans="1:12" s="187" customFormat="1" x14ac:dyDescent="0.2">
      <c r="A846" s="111" t="str">
        <f>IF(F846&lt;&gt;"",1+MAX($A$7:A845),"")</f>
        <v/>
      </c>
      <c r="B846" s="45"/>
      <c r="C846" s="45"/>
      <c r="D846" s="214"/>
      <c r="E846" s="215" t="s">
        <v>54</v>
      </c>
      <c r="F846" s="216"/>
      <c r="G846" s="217"/>
      <c r="H846" s="218">
        <f>ROUNDUP((H842)*5.25/1000,0)</f>
        <v>6</v>
      </c>
      <c r="I846" s="34" t="s">
        <v>55</v>
      </c>
      <c r="J846" s="204"/>
      <c r="K846" s="205"/>
      <c r="L846" s="206"/>
    </row>
    <row r="847" spans="1:12" s="187" customFormat="1" x14ac:dyDescent="0.2">
      <c r="A847" s="111">
        <f>IF(F847&lt;&gt;"",1+MAX($A$7:A846),"")</f>
        <v>297</v>
      </c>
      <c r="B847" s="2" t="s">
        <v>112</v>
      </c>
      <c r="C847" s="2" t="s">
        <v>111</v>
      </c>
      <c r="D847" s="214"/>
      <c r="E847" s="213" t="s">
        <v>109</v>
      </c>
      <c r="F847" s="17">
        <f>(403.2+9.8)*4</f>
        <v>1652</v>
      </c>
      <c r="G847" s="127">
        <v>0.1</v>
      </c>
      <c r="H847" s="33">
        <f>F847*(1+G847)</f>
        <v>1817.2</v>
      </c>
      <c r="I847" s="34" t="s">
        <v>15</v>
      </c>
      <c r="J847" s="204">
        <f>J$148</f>
        <v>0</v>
      </c>
      <c r="K847" s="205">
        <f>J847*H847</f>
        <v>0</v>
      </c>
      <c r="L847" s="206"/>
    </row>
    <row r="848" spans="1:12" s="187" customFormat="1" x14ac:dyDescent="0.2">
      <c r="A848" s="111">
        <f>IF(F848&lt;&gt;"",1+MAX($A$7:A847),"")</f>
        <v>298</v>
      </c>
      <c r="B848" s="2" t="s">
        <v>112</v>
      </c>
      <c r="C848" s="2" t="s">
        <v>111</v>
      </c>
      <c r="D848" s="212"/>
      <c r="E848" s="213" t="s">
        <v>118</v>
      </c>
      <c r="F848" s="17">
        <f>(403.2+9.8)*9</f>
        <v>3717</v>
      </c>
      <c r="G848" s="127">
        <v>0.1</v>
      </c>
      <c r="H848" s="33">
        <f>F848*(1+G848)</f>
        <v>4088.7000000000003</v>
      </c>
      <c r="I848" s="34" t="s">
        <v>18</v>
      </c>
      <c r="J848" s="204">
        <f>J$187</f>
        <v>0</v>
      </c>
      <c r="K848" s="205">
        <f>J848*H848</f>
        <v>0</v>
      </c>
      <c r="L848" s="206"/>
    </row>
    <row r="849" spans="1:12" s="187" customFormat="1" x14ac:dyDescent="0.2">
      <c r="A849" s="111">
        <f>IF(F849&lt;&gt;"",1+MAX($A$7:A848),"")</f>
        <v>299</v>
      </c>
      <c r="B849" s="2" t="s">
        <v>112</v>
      </c>
      <c r="C849" s="2" t="s">
        <v>111</v>
      </c>
      <c r="D849" s="212"/>
      <c r="E849" s="213" t="s">
        <v>123</v>
      </c>
      <c r="F849" s="17">
        <f>(403.2+9.8)*9</f>
        <v>3717</v>
      </c>
      <c r="G849" s="127">
        <v>0.1</v>
      </c>
      <c r="H849" s="33">
        <f>F849*(1+G849)</f>
        <v>4088.7000000000003</v>
      </c>
      <c r="I849" s="34" t="s">
        <v>18</v>
      </c>
      <c r="J849" s="204">
        <f>J$202</f>
        <v>0</v>
      </c>
      <c r="K849" s="205">
        <f>J849*H849</f>
        <v>0</v>
      </c>
      <c r="L849" s="206"/>
    </row>
    <row r="850" spans="1:12" s="187" customFormat="1" x14ac:dyDescent="0.2">
      <c r="A850" s="111" t="str">
        <f>IF(F850&lt;&gt;"",1+MAX($A$7:A849),"")</f>
        <v/>
      </c>
      <c r="B850" s="2"/>
      <c r="C850" s="2"/>
      <c r="D850" s="214"/>
      <c r="E850" s="213"/>
      <c r="F850" s="17"/>
      <c r="G850" s="127"/>
      <c r="H850" s="33"/>
      <c r="I850" s="34"/>
      <c r="J850" s="204"/>
      <c r="K850" s="205"/>
      <c r="L850" s="206"/>
    </row>
    <row r="851" spans="1:12" s="187" customFormat="1" x14ac:dyDescent="0.2">
      <c r="A851" s="111" t="str">
        <f>IF(F851&lt;&gt;"",1+MAX($A$7:A850),"")</f>
        <v/>
      </c>
      <c r="B851" s="207"/>
      <c r="C851" s="207"/>
      <c r="D851" s="201"/>
      <c r="E851" s="208" t="s">
        <v>200</v>
      </c>
      <c r="F851" s="203"/>
      <c r="G851" s="25"/>
      <c r="H851" s="209"/>
      <c r="I851" s="5"/>
      <c r="J851" s="210"/>
      <c r="K851" s="211"/>
      <c r="L851" s="206"/>
    </row>
    <row r="852" spans="1:12" s="187" customFormat="1" x14ac:dyDescent="0.2">
      <c r="A852" s="111">
        <f>IF(F852&lt;&gt;"",1+MAX($A$7:A851),"")</f>
        <v>300</v>
      </c>
      <c r="B852" s="2" t="s">
        <v>112</v>
      </c>
      <c r="C852" s="2" t="s">
        <v>111</v>
      </c>
      <c r="D852" s="212"/>
      <c r="E852" s="213" t="s">
        <v>107</v>
      </c>
      <c r="F852" s="17">
        <f>313.5*9*2</f>
        <v>5643</v>
      </c>
      <c r="G852" s="127">
        <v>0.1</v>
      </c>
      <c r="H852" s="33">
        <f>F852*(1+G852)</f>
        <v>6207.3</v>
      </c>
      <c r="I852" s="34" t="s">
        <v>18</v>
      </c>
      <c r="J852" s="204">
        <f>J$143</f>
        <v>0</v>
      </c>
      <c r="K852" s="205">
        <f>J852*H852</f>
        <v>0</v>
      </c>
      <c r="L852" s="206"/>
    </row>
    <row r="853" spans="1:12" s="187" customFormat="1" x14ac:dyDescent="0.2">
      <c r="A853" s="111" t="str">
        <f>IF(F853&lt;&gt;"",1+MAX($A$7:A852),"")</f>
        <v/>
      </c>
      <c r="B853" s="45"/>
      <c r="C853" s="45"/>
      <c r="D853" s="214"/>
      <c r="E853" s="215" t="s">
        <v>48</v>
      </c>
      <c r="F853" s="216"/>
      <c r="G853" s="217"/>
      <c r="H853" s="33">
        <f>ROUNDUP((H852)/32,0)</f>
        <v>194</v>
      </c>
      <c r="I853" s="34" t="s">
        <v>49</v>
      </c>
      <c r="J853" s="204"/>
      <c r="K853" s="205"/>
      <c r="L853" s="206"/>
    </row>
    <row r="854" spans="1:12" s="187" customFormat="1" x14ac:dyDescent="0.2">
      <c r="A854" s="111" t="str">
        <f>IF(F854&lt;&gt;"",1+MAX($A$7:A853),"")</f>
        <v/>
      </c>
      <c r="B854" s="45"/>
      <c r="C854" s="45"/>
      <c r="D854" s="214"/>
      <c r="E854" s="215" t="s">
        <v>50</v>
      </c>
      <c r="F854" s="216"/>
      <c r="G854" s="217"/>
      <c r="H854" s="33">
        <f>ROUNDUP(H853*24/500,0)</f>
        <v>10</v>
      </c>
      <c r="I854" s="34" t="s">
        <v>51</v>
      </c>
      <c r="J854" s="204"/>
      <c r="K854" s="205"/>
      <c r="L854" s="206"/>
    </row>
    <row r="855" spans="1:12" s="187" customFormat="1" x14ac:dyDescent="0.2">
      <c r="A855" s="111" t="str">
        <f>IF(F855&lt;&gt;"",1+MAX($A$7:A854),"")</f>
        <v/>
      </c>
      <c r="B855" s="45"/>
      <c r="C855" s="45"/>
      <c r="D855" s="214"/>
      <c r="E855" s="215" t="s">
        <v>52</v>
      </c>
      <c r="F855" s="216"/>
      <c r="G855" s="217"/>
      <c r="H855" s="218">
        <f>ROUNDUP((H852)/200,0)</f>
        <v>32</v>
      </c>
      <c r="I855" s="34" t="s">
        <v>53</v>
      </c>
      <c r="J855" s="204"/>
      <c r="K855" s="205"/>
      <c r="L855" s="206"/>
    </row>
    <row r="856" spans="1:12" s="187" customFormat="1" x14ac:dyDescent="0.2">
      <c r="A856" s="111" t="str">
        <f>IF(F856&lt;&gt;"",1+MAX($A$7:A855),"")</f>
        <v/>
      </c>
      <c r="B856" s="45"/>
      <c r="C856" s="45"/>
      <c r="D856" s="214"/>
      <c r="E856" s="215" t="s">
        <v>54</v>
      </c>
      <c r="F856" s="216"/>
      <c r="G856" s="217"/>
      <c r="H856" s="218">
        <f>ROUNDUP((H852)*5.25/1000,0)</f>
        <v>33</v>
      </c>
      <c r="I856" s="34" t="s">
        <v>55</v>
      </c>
      <c r="J856" s="204"/>
      <c r="K856" s="205"/>
      <c r="L856" s="206"/>
    </row>
    <row r="857" spans="1:12" s="187" customFormat="1" x14ac:dyDescent="0.2">
      <c r="A857" s="111">
        <f>IF(F857&lt;&gt;"",1+MAX($A$7:A856),"")</f>
        <v>301</v>
      </c>
      <c r="B857" s="2" t="s">
        <v>112</v>
      </c>
      <c r="C857" s="2" t="s">
        <v>111</v>
      </c>
      <c r="D857" s="214"/>
      <c r="E857" s="213" t="s">
        <v>109</v>
      </c>
      <c r="F857" s="17">
        <f>313.5*4</f>
        <v>1254</v>
      </c>
      <c r="G857" s="127">
        <v>0.1</v>
      </c>
      <c r="H857" s="33">
        <f>F857*(1+G857)</f>
        <v>1379.4</v>
      </c>
      <c r="I857" s="34" t="s">
        <v>15</v>
      </c>
      <c r="J857" s="204">
        <f>J$148</f>
        <v>0</v>
      </c>
      <c r="K857" s="205">
        <f>J857*H857</f>
        <v>0</v>
      </c>
      <c r="L857" s="206"/>
    </row>
    <row r="858" spans="1:12" s="187" customFormat="1" x14ac:dyDescent="0.2">
      <c r="A858" s="111">
        <f>IF(F858&lt;&gt;"",1+MAX($A$7:A857),"")</f>
        <v>302</v>
      </c>
      <c r="B858" s="2" t="s">
        <v>112</v>
      </c>
      <c r="C858" s="2" t="s">
        <v>111</v>
      </c>
      <c r="D858" s="212"/>
      <c r="E858" s="213" t="s">
        <v>118</v>
      </c>
      <c r="F858" s="17">
        <f>313.5*9</f>
        <v>2821.5</v>
      </c>
      <c r="G858" s="127">
        <v>0.1</v>
      </c>
      <c r="H858" s="33">
        <f>F858*(1+G858)</f>
        <v>3103.65</v>
      </c>
      <c r="I858" s="34" t="s">
        <v>18</v>
      </c>
      <c r="J858" s="204">
        <f>J$187</f>
        <v>0</v>
      </c>
      <c r="K858" s="205">
        <f>J858*H858</f>
        <v>0</v>
      </c>
      <c r="L858" s="206"/>
    </row>
    <row r="859" spans="1:12" s="187" customFormat="1" x14ac:dyDescent="0.2">
      <c r="A859" s="111">
        <f>IF(F859&lt;&gt;"",1+MAX($A$7:A858),"")</f>
        <v>303</v>
      </c>
      <c r="B859" s="2" t="s">
        <v>112</v>
      </c>
      <c r="C859" s="2" t="s">
        <v>111</v>
      </c>
      <c r="D859" s="212"/>
      <c r="E859" s="213" t="s">
        <v>123</v>
      </c>
      <c r="F859" s="17">
        <f>313.5*9</f>
        <v>2821.5</v>
      </c>
      <c r="G859" s="127">
        <v>0.1</v>
      </c>
      <c r="H859" s="33">
        <f>F859*(1+G859)</f>
        <v>3103.65</v>
      </c>
      <c r="I859" s="34" t="s">
        <v>18</v>
      </c>
      <c r="J859" s="204">
        <f>J$202</f>
        <v>0</v>
      </c>
      <c r="K859" s="205">
        <f>J859*H859</f>
        <v>0</v>
      </c>
      <c r="L859" s="206"/>
    </row>
    <row r="860" spans="1:12" s="187" customFormat="1" x14ac:dyDescent="0.2">
      <c r="A860" s="111" t="str">
        <f>IF(F860&lt;&gt;"",1+MAX($A$7:A859),"")</f>
        <v/>
      </c>
      <c r="B860" s="2"/>
      <c r="C860" s="2"/>
      <c r="D860" s="214"/>
      <c r="E860" s="213"/>
      <c r="F860" s="17"/>
      <c r="G860" s="127"/>
      <c r="H860" s="33"/>
      <c r="I860" s="34"/>
      <c r="J860" s="204"/>
      <c r="K860" s="205"/>
      <c r="L860" s="206"/>
    </row>
    <row r="861" spans="1:12" s="187" customFormat="1" x14ac:dyDescent="0.2">
      <c r="A861" s="111" t="str">
        <f>IF(F861&lt;&gt;"",1+MAX($A$7:A860),"")</f>
        <v/>
      </c>
      <c r="B861" s="207"/>
      <c r="C861" s="207"/>
      <c r="D861" s="201"/>
      <c r="E861" s="208" t="s">
        <v>124</v>
      </c>
      <c r="F861" s="203"/>
      <c r="G861" s="25"/>
      <c r="H861" s="209"/>
      <c r="I861" s="5"/>
      <c r="J861" s="210"/>
      <c r="K861" s="211"/>
      <c r="L861" s="206"/>
    </row>
    <row r="862" spans="1:12" s="187" customFormat="1" x14ac:dyDescent="0.2">
      <c r="A862" s="111">
        <f>IF(F862&lt;&gt;"",1+MAX($A$7:A861),"")</f>
        <v>304</v>
      </c>
      <c r="B862" s="2" t="s">
        <v>112</v>
      </c>
      <c r="C862" s="2" t="s">
        <v>111</v>
      </c>
      <c r="D862" s="212"/>
      <c r="E862" s="213" t="s">
        <v>122</v>
      </c>
      <c r="F862" s="17">
        <f>134.9*9</f>
        <v>1214.1000000000001</v>
      </c>
      <c r="G862" s="127">
        <v>0.1</v>
      </c>
      <c r="H862" s="33">
        <f>F862*(1+G862)</f>
        <v>1335.5100000000002</v>
      </c>
      <c r="I862" s="34" t="s">
        <v>18</v>
      </c>
      <c r="J862" s="204">
        <f>J$143</f>
        <v>0</v>
      </c>
      <c r="K862" s="205">
        <f>J862*H862</f>
        <v>0</v>
      </c>
      <c r="L862" s="206"/>
    </row>
    <row r="863" spans="1:12" s="187" customFormat="1" x14ac:dyDescent="0.2">
      <c r="A863" s="111" t="str">
        <f>IF(F863&lt;&gt;"",1+MAX($A$7:A862),"")</f>
        <v/>
      </c>
      <c r="B863" s="45"/>
      <c r="C863" s="45"/>
      <c r="D863" s="214"/>
      <c r="E863" s="215" t="s">
        <v>48</v>
      </c>
      <c r="F863" s="216"/>
      <c r="G863" s="217"/>
      <c r="H863" s="33">
        <f>ROUNDUP((H862)/32,0)</f>
        <v>42</v>
      </c>
      <c r="I863" s="34" t="s">
        <v>49</v>
      </c>
      <c r="J863" s="204"/>
      <c r="K863" s="205"/>
      <c r="L863" s="206"/>
    </row>
    <row r="864" spans="1:12" s="187" customFormat="1" x14ac:dyDescent="0.2">
      <c r="A864" s="111" t="str">
        <f>IF(F864&lt;&gt;"",1+MAX($A$7:A863),"")</f>
        <v/>
      </c>
      <c r="B864" s="45"/>
      <c r="C864" s="45"/>
      <c r="D864" s="214"/>
      <c r="E864" s="215" t="s">
        <v>50</v>
      </c>
      <c r="F864" s="216"/>
      <c r="G864" s="217"/>
      <c r="H864" s="33">
        <f>ROUNDUP(H863*24/500,0)</f>
        <v>3</v>
      </c>
      <c r="I864" s="34" t="s">
        <v>51</v>
      </c>
      <c r="J864" s="204"/>
      <c r="K864" s="205"/>
      <c r="L864" s="206"/>
    </row>
    <row r="865" spans="1:12" s="187" customFormat="1" x14ac:dyDescent="0.2">
      <c r="A865" s="111" t="str">
        <f>IF(F865&lt;&gt;"",1+MAX($A$7:A864),"")</f>
        <v/>
      </c>
      <c r="B865" s="45"/>
      <c r="C865" s="45"/>
      <c r="D865" s="214"/>
      <c r="E865" s="215" t="s">
        <v>52</v>
      </c>
      <c r="F865" s="216"/>
      <c r="G865" s="217"/>
      <c r="H865" s="218">
        <f>ROUNDUP((H862)/200,0)</f>
        <v>7</v>
      </c>
      <c r="I865" s="34" t="s">
        <v>53</v>
      </c>
      <c r="J865" s="204"/>
      <c r="K865" s="205"/>
      <c r="L865" s="206"/>
    </row>
    <row r="866" spans="1:12" s="187" customFormat="1" x14ac:dyDescent="0.2">
      <c r="A866" s="111" t="str">
        <f>IF(F866&lt;&gt;"",1+MAX($A$7:A865),"")</f>
        <v/>
      </c>
      <c r="B866" s="45"/>
      <c r="C866" s="45"/>
      <c r="D866" s="214"/>
      <c r="E866" s="215" t="s">
        <v>54</v>
      </c>
      <c r="F866" s="216"/>
      <c r="G866" s="217"/>
      <c r="H866" s="218">
        <f>ROUNDUP((H862)*5.25/1000,0)</f>
        <v>8</v>
      </c>
      <c r="I866" s="34" t="s">
        <v>55</v>
      </c>
      <c r="J866" s="204"/>
      <c r="K866" s="205"/>
      <c r="L866" s="206"/>
    </row>
    <row r="867" spans="1:12" s="187" customFormat="1" x14ac:dyDescent="0.2">
      <c r="A867" s="111">
        <f>IF(F867&lt;&gt;"",1+MAX($A$7:A866),"")</f>
        <v>305</v>
      </c>
      <c r="B867" s="2" t="s">
        <v>112</v>
      </c>
      <c r="C867" s="2" t="s">
        <v>111</v>
      </c>
      <c r="D867" s="212"/>
      <c r="E867" s="213" t="s">
        <v>108</v>
      </c>
      <c r="F867" s="17">
        <f>42*9</f>
        <v>378</v>
      </c>
      <c r="G867" s="127">
        <v>0.1</v>
      </c>
      <c r="H867" s="33">
        <f>F867*(1+G867)</f>
        <v>415.8</v>
      </c>
      <c r="I867" s="34" t="s">
        <v>18</v>
      </c>
      <c r="J867" s="204">
        <f>J$160</f>
        <v>0</v>
      </c>
      <c r="K867" s="205">
        <f>J867*H867</f>
        <v>0</v>
      </c>
      <c r="L867" s="206"/>
    </row>
    <row r="868" spans="1:12" s="187" customFormat="1" x14ac:dyDescent="0.2">
      <c r="A868" s="111" t="str">
        <f>IF(F868&lt;&gt;"",1+MAX($A$7:A867),"")</f>
        <v/>
      </c>
      <c r="B868" s="45"/>
      <c r="C868" s="45"/>
      <c r="D868" s="214"/>
      <c r="E868" s="215" t="s">
        <v>48</v>
      </c>
      <c r="F868" s="216"/>
      <c r="G868" s="217"/>
      <c r="H868" s="33">
        <f>ROUNDUP((H867)/32,0)</f>
        <v>13</v>
      </c>
      <c r="I868" s="34" t="s">
        <v>49</v>
      </c>
      <c r="J868" s="204"/>
      <c r="K868" s="205"/>
      <c r="L868" s="206"/>
    </row>
    <row r="869" spans="1:12" s="187" customFormat="1" x14ac:dyDescent="0.2">
      <c r="A869" s="111" t="str">
        <f>IF(F869&lt;&gt;"",1+MAX($A$7:A868),"")</f>
        <v/>
      </c>
      <c r="B869" s="45"/>
      <c r="C869" s="45"/>
      <c r="D869" s="214"/>
      <c r="E869" s="215" t="s">
        <v>50</v>
      </c>
      <c r="F869" s="216"/>
      <c r="G869" s="217"/>
      <c r="H869" s="33">
        <f>ROUNDUP(H868*24/500,0)</f>
        <v>1</v>
      </c>
      <c r="I869" s="34" t="s">
        <v>51</v>
      </c>
      <c r="J869" s="204"/>
      <c r="K869" s="205"/>
      <c r="L869" s="206"/>
    </row>
    <row r="870" spans="1:12" s="187" customFormat="1" x14ac:dyDescent="0.2">
      <c r="A870" s="111" t="str">
        <f>IF(F870&lt;&gt;"",1+MAX($A$7:A869),"")</f>
        <v/>
      </c>
      <c r="B870" s="45"/>
      <c r="C870" s="45"/>
      <c r="D870" s="214"/>
      <c r="E870" s="215" t="s">
        <v>52</v>
      </c>
      <c r="F870" s="216"/>
      <c r="G870" s="217"/>
      <c r="H870" s="218">
        <f>ROUNDUP((H867)/200,0)</f>
        <v>3</v>
      </c>
      <c r="I870" s="34" t="s">
        <v>53</v>
      </c>
      <c r="J870" s="204"/>
      <c r="K870" s="205"/>
      <c r="L870" s="206"/>
    </row>
    <row r="871" spans="1:12" s="187" customFormat="1" x14ac:dyDescent="0.2">
      <c r="A871" s="111" t="str">
        <f>IF(F871&lt;&gt;"",1+MAX($A$7:A870),"")</f>
        <v/>
      </c>
      <c r="B871" s="45"/>
      <c r="C871" s="45"/>
      <c r="D871" s="214"/>
      <c r="E871" s="215" t="s">
        <v>54</v>
      </c>
      <c r="F871" s="216"/>
      <c r="G871" s="217"/>
      <c r="H871" s="218">
        <f>ROUNDUP((H867)*5.25/1000,0)</f>
        <v>3</v>
      </c>
      <c r="I871" s="34" t="s">
        <v>55</v>
      </c>
      <c r="J871" s="204"/>
      <c r="K871" s="205"/>
      <c r="L871" s="206"/>
    </row>
    <row r="872" spans="1:12" s="187" customFormat="1" x14ac:dyDescent="0.2">
      <c r="A872" s="111">
        <f>IF(F872&lt;&gt;"",1+MAX($A$7:A871),"")</f>
        <v>306</v>
      </c>
      <c r="B872" s="2" t="s">
        <v>112</v>
      </c>
      <c r="C872" s="2" t="s">
        <v>111</v>
      </c>
      <c r="D872" s="214"/>
      <c r="E872" s="213" t="s">
        <v>109</v>
      </c>
      <c r="F872" s="17">
        <f>176.9*2</f>
        <v>353.8</v>
      </c>
      <c r="G872" s="127">
        <v>0.1</v>
      </c>
      <c r="H872" s="33">
        <f>F872*(1+G872)</f>
        <v>389.18000000000006</v>
      </c>
      <c r="I872" s="34" t="s">
        <v>15</v>
      </c>
      <c r="J872" s="204">
        <f>J$148</f>
        <v>0</v>
      </c>
      <c r="K872" s="205">
        <f>J872*H872</f>
        <v>0</v>
      </c>
      <c r="L872" s="206"/>
    </row>
    <row r="873" spans="1:12" s="187" customFormat="1" x14ac:dyDescent="0.2">
      <c r="A873" s="111">
        <f>IF(F873&lt;&gt;"",1+MAX($A$7:A872),"")</f>
        <v>307</v>
      </c>
      <c r="B873" s="2" t="s">
        <v>112</v>
      </c>
      <c r="C873" s="2" t="s">
        <v>111</v>
      </c>
      <c r="D873" s="212"/>
      <c r="E873" s="213" t="s">
        <v>484</v>
      </c>
      <c r="F873" s="17">
        <f>176.9*9</f>
        <v>1592.1000000000001</v>
      </c>
      <c r="G873" s="127">
        <v>0.1</v>
      </c>
      <c r="H873" s="33">
        <f>F873*(1+G873)</f>
        <v>1751.3100000000004</v>
      </c>
      <c r="I873" s="34" t="s">
        <v>18</v>
      </c>
      <c r="J873" s="204">
        <f>J$276</f>
        <v>0</v>
      </c>
      <c r="K873" s="205">
        <f>J873*H873</f>
        <v>0</v>
      </c>
      <c r="L873" s="206"/>
    </row>
    <row r="874" spans="1:12" s="187" customFormat="1" x14ac:dyDescent="0.2">
      <c r="A874" s="111">
        <f>IF(F874&lt;&gt;"",1+MAX($A$7:A873),"")</f>
        <v>308</v>
      </c>
      <c r="B874" s="2" t="s">
        <v>112</v>
      </c>
      <c r="C874" s="2" t="s">
        <v>111</v>
      </c>
      <c r="D874" s="212"/>
      <c r="E874" s="213" t="s">
        <v>123</v>
      </c>
      <c r="F874" s="17">
        <f>176.9*9</f>
        <v>1592.1000000000001</v>
      </c>
      <c r="G874" s="127">
        <v>0.1</v>
      </c>
      <c r="H874" s="33">
        <f>F874*(1+G874)</f>
        <v>1751.3100000000004</v>
      </c>
      <c r="I874" s="34" t="s">
        <v>18</v>
      </c>
      <c r="J874" s="204">
        <f>J$202</f>
        <v>0</v>
      </c>
      <c r="K874" s="205">
        <f>J874*H874</f>
        <v>0</v>
      </c>
      <c r="L874" s="206"/>
    </row>
    <row r="875" spans="1:12" s="187" customFormat="1" x14ac:dyDescent="0.2">
      <c r="A875" s="111" t="str">
        <f>IF(F875&lt;&gt;"",1+MAX($A$7:A874),"")</f>
        <v/>
      </c>
      <c r="B875" s="2"/>
      <c r="C875" s="2"/>
      <c r="D875" s="214"/>
      <c r="E875" s="213"/>
      <c r="F875" s="17"/>
      <c r="G875" s="127"/>
      <c r="H875" s="33"/>
      <c r="I875" s="34"/>
      <c r="J875" s="204"/>
      <c r="K875" s="205"/>
      <c r="L875" s="206"/>
    </row>
    <row r="876" spans="1:12" s="187" customFormat="1" x14ac:dyDescent="0.2">
      <c r="A876" s="111" t="str">
        <f>IF(F876&lt;&gt;"",1+MAX($A$7:A875),"")</f>
        <v/>
      </c>
      <c r="B876" s="207"/>
      <c r="C876" s="207"/>
      <c r="D876" s="201"/>
      <c r="E876" s="208" t="s">
        <v>201</v>
      </c>
      <c r="F876" s="203"/>
      <c r="G876" s="25"/>
      <c r="H876" s="209"/>
      <c r="I876" s="5"/>
      <c r="J876" s="210"/>
      <c r="K876" s="211"/>
      <c r="L876" s="206"/>
    </row>
    <row r="877" spans="1:12" s="187" customFormat="1" x14ac:dyDescent="0.2">
      <c r="A877" s="111">
        <f>IF(F877&lt;&gt;"",1+MAX($A$7:A876),"")</f>
        <v>309</v>
      </c>
      <c r="B877" s="2" t="s">
        <v>112</v>
      </c>
      <c r="C877" s="2" t="s">
        <v>111</v>
      </c>
      <c r="D877" s="212"/>
      <c r="E877" s="213" t="s">
        <v>107</v>
      </c>
      <c r="F877" s="17">
        <f>49.9*9</f>
        <v>449.09999999999997</v>
      </c>
      <c r="G877" s="127">
        <v>0.1</v>
      </c>
      <c r="H877" s="33">
        <f>F877*(1+G877)</f>
        <v>494.01</v>
      </c>
      <c r="I877" s="34" t="s">
        <v>18</v>
      </c>
      <c r="J877" s="204">
        <f>J$143</f>
        <v>0</v>
      </c>
      <c r="K877" s="205">
        <f>J877*H877</f>
        <v>0</v>
      </c>
      <c r="L877" s="206"/>
    </row>
    <row r="878" spans="1:12" s="187" customFormat="1" x14ac:dyDescent="0.2">
      <c r="A878" s="111" t="str">
        <f>IF(F878&lt;&gt;"",1+MAX($A$7:A877),"")</f>
        <v/>
      </c>
      <c r="B878" s="45"/>
      <c r="C878" s="45"/>
      <c r="D878" s="214"/>
      <c r="E878" s="215" t="s">
        <v>48</v>
      </c>
      <c r="F878" s="216"/>
      <c r="G878" s="217"/>
      <c r="H878" s="33">
        <f>ROUNDUP((H877)/32,0)</f>
        <v>16</v>
      </c>
      <c r="I878" s="34" t="s">
        <v>49</v>
      </c>
      <c r="J878" s="204"/>
      <c r="K878" s="205"/>
      <c r="L878" s="206"/>
    </row>
    <row r="879" spans="1:12" s="187" customFormat="1" x14ac:dyDescent="0.2">
      <c r="A879" s="111" t="str">
        <f>IF(F879&lt;&gt;"",1+MAX($A$7:A878),"")</f>
        <v/>
      </c>
      <c r="B879" s="45"/>
      <c r="C879" s="45"/>
      <c r="D879" s="214"/>
      <c r="E879" s="215" t="s">
        <v>50</v>
      </c>
      <c r="F879" s="216"/>
      <c r="G879" s="217"/>
      <c r="H879" s="33">
        <f>ROUNDUP(H878*24/500,0)</f>
        <v>1</v>
      </c>
      <c r="I879" s="34" t="s">
        <v>51</v>
      </c>
      <c r="J879" s="204"/>
      <c r="K879" s="205"/>
      <c r="L879" s="206"/>
    </row>
    <row r="880" spans="1:12" s="187" customFormat="1" x14ac:dyDescent="0.2">
      <c r="A880" s="111" t="str">
        <f>IF(F880&lt;&gt;"",1+MAX($A$7:A879),"")</f>
        <v/>
      </c>
      <c r="B880" s="45"/>
      <c r="C880" s="45"/>
      <c r="D880" s="214"/>
      <c r="E880" s="215" t="s">
        <v>52</v>
      </c>
      <c r="F880" s="216"/>
      <c r="G880" s="217"/>
      <c r="H880" s="218">
        <f>ROUNDUP((H877)/200,0)</f>
        <v>3</v>
      </c>
      <c r="I880" s="34" t="s">
        <v>53</v>
      </c>
      <c r="J880" s="204"/>
      <c r="K880" s="205"/>
      <c r="L880" s="206"/>
    </row>
    <row r="881" spans="1:12" s="187" customFormat="1" x14ac:dyDescent="0.2">
      <c r="A881" s="111" t="str">
        <f>IF(F881&lt;&gt;"",1+MAX($A$7:A880),"")</f>
        <v/>
      </c>
      <c r="B881" s="45"/>
      <c r="C881" s="45"/>
      <c r="D881" s="214"/>
      <c r="E881" s="215" t="s">
        <v>54</v>
      </c>
      <c r="F881" s="216"/>
      <c r="G881" s="217"/>
      <c r="H881" s="218">
        <f>ROUNDUP((H877)*5.25/1000,0)</f>
        <v>3</v>
      </c>
      <c r="I881" s="34" t="s">
        <v>55</v>
      </c>
      <c r="J881" s="204"/>
      <c r="K881" s="205"/>
      <c r="L881" s="206"/>
    </row>
    <row r="882" spans="1:12" s="187" customFormat="1" x14ac:dyDescent="0.2">
      <c r="A882" s="111">
        <f>IF(F882&lt;&gt;"",1+MAX($A$7:A881),"")</f>
        <v>310</v>
      </c>
      <c r="B882" s="2" t="s">
        <v>112</v>
      </c>
      <c r="C882" s="2" t="s">
        <v>111</v>
      </c>
      <c r="D882" s="212"/>
      <c r="E882" s="213" t="s">
        <v>108</v>
      </c>
      <c r="F882" s="17">
        <f>49.9*9</f>
        <v>449.09999999999997</v>
      </c>
      <c r="G882" s="127">
        <v>0.1</v>
      </c>
      <c r="H882" s="33">
        <f>F882*(1+G882)</f>
        <v>494.01</v>
      </c>
      <c r="I882" s="34" t="s">
        <v>18</v>
      </c>
      <c r="J882" s="204">
        <f>J$160</f>
        <v>0</v>
      </c>
      <c r="K882" s="205">
        <f>J882*H882</f>
        <v>0</v>
      </c>
      <c r="L882" s="206"/>
    </row>
    <row r="883" spans="1:12" s="187" customFormat="1" x14ac:dyDescent="0.2">
      <c r="A883" s="111" t="str">
        <f>IF(F883&lt;&gt;"",1+MAX($A$7:A882),"")</f>
        <v/>
      </c>
      <c r="B883" s="45"/>
      <c r="C883" s="45"/>
      <c r="D883" s="214"/>
      <c r="E883" s="215" t="s">
        <v>48</v>
      </c>
      <c r="F883" s="216"/>
      <c r="G883" s="217"/>
      <c r="H883" s="33">
        <f>ROUNDUP((H882)/32,0)</f>
        <v>16</v>
      </c>
      <c r="I883" s="34" t="s">
        <v>49</v>
      </c>
      <c r="J883" s="204"/>
      <c r="K883" s="205"/>
      <c r="L883" s="206"/>
    </row>
    <row r="884" spans="1:12" s="187" customFormat="1" x14ac:dyDescent="0.2">
      <c r="A884" s="111" t="str">
        <f>IF(F884&lt;&gt;"",1+MAX($A$7:A883),"")</f>
        <v/>
      </c>
      <c r="B884" s="45"/>
      <c r="C884" s="45"/>
      <c r="D884" s="214"/>
      <c r="E884" s="215" t="s">
        <v>50</v>
      </c>
      <c r="F884" s="216"/>
      <c r="G884" s="217"/>
      <c r="H884" s="33">
        <f>ROUNDUP(H883*24/500,0)</f>
        <v>1</v>
      </c>
      <c r="I884" s="34" t="s">
        <v>51</v>
      </c>
      <c r="J884" s="204"/>
      <c r="K884" s="205"/>
      <c r="L884" s="206"/>
    </row>
    <row r="885" spans="1:12" s="187" customFormat="1" x14ac:dyDescent="0.2">
      <c r="A885" s="111" t="str">
        <f>IF(F885&lt;&gt;"",1+MAX($A$7:A884),"")</f>
        <v/>
      </c>
      <c r="B885" s="45"/>
      <c r="C885" s="45"/>
      <c r="D885" s="214"/>
      <c r="E885" s="215" t="s">
        <v>52</v>
      </c>
      <c r="F885" s="216"/>
      <c r="G885" s="217"/>
      <c r="H885" s="218">
        <f>ROUNDUP((H882)/200,0)</f>
        <v>3</v>
      </c>
      <c r="I885" s="34" t="s">
        <v>53</v>
      </c>
      <c r="J885" s="204"/>
      <c r="K885" s="205"/>
      <c r="L885" s="206"/>
    </row>
    <row r="886" spans="1:12" s="187" customFormat="1" x14ac:dyDescent="0.2">
      <c r="A886" s="111" t="str">
        <f>IF(F886&lt;&gt;"",1+MAX($A$7:A885),"")</f>
        <v/>
      </c>
      <c r="B886" s="45"/>
      <c r="C886" s="45"/>
      <c r="D886" s="214"/>
      <c r="E886" s="215" t="s">
        <v>54</v>
      </c>
      <c r="F886" s="216"/>
      <c r="G886" s="217"/>
      <c r="H886" s="218">
        <f>ROUNDUP((H882)*5.25/1000,0)</f>
        <v>3</v>
      </c>
      <c r="I886" s="34" t="s">
        <v>55</v>
      </c>
      <c r="J886" s="204"/>
      <c r="K886" s="205"/>
      <c r="L886" s="206"/>
    </row>
    <row r="887" spans="1:12" s="187" customFormat="1" x14ac:dyDescent="0.2">
      <c r="A887" s="111">
        <f>IF(F887&lt;&gt;"",1+MAX($A$7:A886),"")</f>
        <v>311</v>
      </c>
      <c r="B887" s="2" t="s">
        <v>112</v>
      </c>
      <c r="C887" s="2" t="s">
        <v>111</v>
      </c>
      <c r="D887" s="214"/>
      <c r="E887" s="213" t="s">
        <v>109</v>
      </c>
      <c r="F887" s="17">
        <f>49.9*4</f>
        <v>199.6</v>
      </c>
      <c r="G887" s="127">
        <v>0.1</v>
      </c>
      <c r="H887" s="33">
        <f>F887*(1+G887)</f>
        <v>219.56</v>
      </c>
      <c r="I887" s="34" t="s">
        <v>15</v>
      </c>
      <c r="J887" s="204">
        <f>J$148</f>
        <v>0</v>
      </c>
      <c r="K887" s="205">
        <f>J887*H887</f>
        <v>0</v>
      </c>
      <c r="L887" s="206"/>
    </row>
    <row r="888" spans="1:12" s="187" customFormat="1" x14ac:dyDescent="0.2">
      <c r="A888" s="111">
        <f>IF(F888&lt;&gt;"",1+MAX($A$7:A887),"")</f>
        <v>312</v>
      </c>
      <c r="B888" s="2" t="s">
        <v>112</v>
      </c>
      <c r="C888" s="2" t="s">
        <v>111</v>
      </c>
      <c r="D888" s="212"/>
      <c r="E888" s="213" t="s">
        <v>119</v>
      </c>
      <c r="F888" s="17">
        <f t="shared" ref="F888:F889" si="77">49.9*9</f>
        <v>449.09999999999997</v>
      </c>
      <c r="G888" s="127">
        <v>0.1</v>
      </c>
      <c r="H888" s="33">
        <f>F888*(1+G888)</f>
        <v>494.01</v>
      </c>
      <c r="I888" s="34" t="s">
        <v>18</v>
      </c>
      <c r="J888" s="204">
        <f>J$226</f>
        <v>0</v>
      </c>
      <c r="K888" s="205">
        <f>J888*H888</f>
        <v>0</v>
      </c>
      <c r="L888" s="206"/>
    </row>
    <row r="889" spans="1:12" s="187" customFormat="1" x14ac:dyDescent="0.2">
      <c r="A889" s="111">
        <f>IF(F889&lt;&gt;"",1+MAX($A$7:A888),"")</f>
        <v>313</v>
      </c>
      <c r="B889" s="2" t="s">
        <v>112</v>
      </c>
      <c r="C889" s="2" t="s">
        <v>111</v>
      </c>
      <c r="D889" s="212"/>
      <c r="E889" s="213" t="s">
        <v>123</v>
      </c>
      <c r="F889" s="17">
        <f t="shared" si="77"/>
        <v>449.09999999999997</v>
      </c>
      <c r="G889" s="127">
        <v>0.1</v>
      </c>
      <c r="H889" s="33">
        <f>F889*(1+G889)</f>
        <v>494.01</v>
      </c>
      <c r="I889" s="34" t="s">
        <v>18</v>
      </c>
      <c r="J889" s="204">
        <f>J$202</f>
        <v>0</v>
      </c>
      <c r="K889" s="205">
        <f>J889*H889</f>
        <v>0</v>
      </c>
      <c r="L889" s="206"/>
    </row>
    <row r="890" spans="1:12" s="187" customFormat="1" x14ac:dyDescent="0.2">
      <c r="A890" s="111" t="str">
        <f>IF(F890&lt;&gt;"",1+MAX($A$7:A889),"")</f>
        <v/>
      </c>
      <c r="B890" s="2"/>
      <c r="C890" s="2"/>
      <c r="D890" s="214"/>
      <c r="E890" s="213"/>
      <c r="F890" s="17"/>
      <c r="G890" s="127"/>
      <c r="H890" s="33"/>
      <c r="I890" s="34"/>
      <c r="J890" s="204"/>
      <c r="K890" s="205"/>
      <c r="L890" s="206"/>
    </row>
    <row r="891" spans="1:12" s="187" customFormat="1" x14ac:dyDescent="0.2">
      <c r="A891" s="111" t="str">
        <f>IF(F891&lt;&gt;"",1+MAX($A$7:A890),"")</f>
        <v/>
      </c>
      <c r="B891" s="207"/>
      <c r="C891" s="207"/>
      <c r="D891" s="201"/>
      <c r="E891" s="208" t="s">
        <v>202</v>
      </c>
      <c r="F891" s="203"/>
      <c r="G891" s="25"/>
      <c r="H891" s="209"/>
      <c r="I891" s="5"/>
      <c r="J891" s="210"/>
      <c r="K891" s="211"/>
      <c r="L891" s="206"/>
    </row>
    <row r="892" spans="1:12" s="187" customFormat="1" ht="31.5" x14ac:dyDescent="0.2">
      <c r="A892" s="111">
        <f>IF(F892&lt;&gt;"",1+MAX($A$7:A891),"")</f>
        <v>314</v>
      </c>
      <c r="B892" s="2" t="s">
        <v>112</v>
      </c>
      <c r="C892" s="2" t="s">
        <v>111</v>
      </c>
      <c r="D892" s="212"/>
      <c r="E892" s="213" t="s">
        <v>204</v>
      </c>
      <c r="F892" s="17">
        <f>69.2*9*2</f>
        <v>1245.6000000000001</v>
      </c>
      <c r="G892" s="127">
        <v>0.1</v>
      </c>
      <c r="H892" s="33">
        <f>F892*(1+G892)</f>
        <v>1370.1600000000003</v>
      </c>
      <c r="I892" s="34" t="s">
        <v>18</v>
      </c>
      <c r="J892" s="204">
        <f>J$160</f>
        <v>0</v>
      </c>
      <c r="K892" s="205">
        <f>J892*H892</f>
        <v>0</v>
      </c>
      <c r="L892" s="206"/>
    </row>
    <row r="893" spans="1:12" s="187" customFormat="1" x14ac:dyDescent="0.2">
      <c r="A893" s="111" t="str">
        <f>IF(F893&lt;&gt;"",1+MAX($A$7:A892),"")</f>
        <v/>
      </c>
      <c r="B893" s="45"/>
      <c r="C893" s="45"/>
      <c r="D893" s="214"/>
      <c r="E893" s="215" t="s">
        <v>48</v>
      </c>
      <c r="F893" s="216"/>
      <c r="G893" s="217"/>
      <c r="H893" s="33">
        <f>ROUNDUP((H892)/32,0)</f>
        <v>43</v>
      </c>
      <c r="I893" s="34" t="s">
        <v>49</v>
      </c>
      <c r="J893" s="204"/>
      <c r="K893" s="205"/>
      <c r="L893" s="206"/>
    </row>
    <row r="894" spans="1:12" s="187" customFormat="1" x14ac:dyDescent="0.2">
      <c r="A894" s="111" t="str">
        <f>IF(F894&lt;&gt;"",1+MAX($A$7:A893),"")</f>
        <v/>
      </c>
      <c r="B894" s="45"/>
      <c r="C894" s="45"/>
      <c r="D894" s="214"/>
      <c r="E894" s="215" t="s">
        <v>50</v>
      </c>
      <c r="F894" s="216"/>
      <c r="G894" s="217"/>
      <c r="H894" s="33">
        <f>ROUNDUP(H893*24/500,0)</f>
        <v>3</v>
      </c>
      <c r="I894" s="34" t="s">
        <v>51</v>
      </c>
      <c r="J894" s="204"/>
      <c r="K894" s="205"/>
      <c r="L894" s="206"/>
    </row>
    <row r="895" spans="1:12" s="187" customFormat="1" x14ac:dyDescent="0.2">
      <c r="A895" s="111" t="str">
        <f>IF(F895&lt;&gt;"",1+MAX($A$7:A894),"")</f>
        <v/>
      </c>
      <c r="B895" s="45"/>
      <c r="C895" s="45"/>
      <c r="D895" s="214"/>
      <c r="E895" s="215" t="s">
        <v>52</v>
      </c>
      <c r="F895" s="216"/>
      <c r="G895" s="217"/>
      <c r="H895" s="218">
        <f>ROUNDUP((H892)/200,0)</f>
        <v>7</v>
      </c>
      <c r="I895" s="34" t="s">
        <v>53</v>
      </c>
      <c r="J895" s="204"/>
      <c r="K895" s="205"/>
      <c r="L895" s="206"/>
    </row>
    <row r="896" spans="1:12" s="187" customFormat="1" x14ac:dyDescent="0.2">
      <c r="A896" s="111" t="str">
        <f>IF(F896&lt;&gt;"",1+MAX($A$7:A895),"")</f>
        <v/>
      </c>
      <c r="B896" s="45"/>
      <c r="C896" s="45"/>
      <c r="D896" s="214"/>
      <c r="E896" s="215" t="s">
        <v>54</v>
      </c>
      <c r="F896" s="216"/>
      <c r="G896" s="217"/>
      <c r="H896" s="218">
        <f>ROUNDUP((H892)*5.25/1000,0)</f>
        <v>8</v>
      </c>
      <c r="I896" s="34" t="s">
        <v>55</v>
      </c>
      <c r="J896" s="204"/>
      <c r="K896" s="205"/>
      <c r="L896" s="206"/>
    </row>
    <row r="897" spans="1:12" s="187" customFormat="1" x14ac:dyDescent="0.2">
      <c r="A897" s="111">
        <f>IF(F897&lt;&gt;"",1+MAX($A$7:A896),"")</f>
        <v>315</v>
      </c>
      <c r="B897" s="2" t="s">
        <v>112</v>
      </c>
      <c r="C897" s="2" t="s">
        <v>111</v>
      </c>
      <c r="D897" s="214"/>
      <c r="E897" s="213" t="s">
        <v>109</v>
      </c>
      <c r="F897" s="17">
        <f>69.2*4</f>
        <v>276.8</v>
      </c>
      <c r="G897" s="127">
        <v>0.1</v>
      </c>
      <c r="H897" s="33">
        <f>F897*(1+G897)</f>
        <v>304.48</v>
      </c>
      <c r="I897" s="34" t="s">
        <v>15</v>
      </c>
      <c r="J897" s="204">
        <f>J$148</f>
        <v>0</v>
      </c>
      <c r="K897" s="205">
        <f>J897*H897</f>
        <v>0</v>
      </c>
      <c r="L897" s="206"/>
    </row>
    <row r="898" spans="1:12" s="187" customFormat="1" x14ac:dyDescent="0.2">
      <c r="A898" s="111">
        <f>IF(F898&lt;&gt;"",1+MAX($A$7:A897),"")</f>
        <v>316</v>
      </c>
      <c r="B898" s="2" t="s">
        <v>112</v>
      </c>
      <c r="C898" s="2" t="s">
        <v>111</v>
      </c>
      <c r="D898" s="212"/>
      <c r="E898" s="213" t="s">
        <v>119</v>
      </c>
      <c r="F898" s="17">
        <f>69.2*9</f>
        <v>622.80000000000007</v>
      </c>
      <c r="G898" s="127">
        <v>0.1</v>
      </c>
      <c r="H898" s="33">
        <f>F898*(1+G898)</f>
        <v>685.08000000000015</v>
      </c>
      <c r="I898" s="34" t="s">
        <v>18</v>
      </c>
      <c r="J898" s="204">
        <f>J$226</f>
        <v>0</v>
      </c>
      <c r="K898" s="205">
        <f>J898*H898</f>
        <v>0</v>
      </c>
      <c r="L898" s="206"/>
    </row>
    <row r="899" spans="1:12" s="187" customFormat="1" x14ac:dyDescent="0.2">
      <c r="A899" s="111">
        <f>IF(F899&lt;&gt;"",1+MAX($A$7:A898),"")</f>
        <v>317</v>
      </c>
      <c r="B899" s="2" t="s">
        <v>112</v>
      </c>
      <c r="C899" s="2" t="s">
        <v>111</v>
      </c>
      <c r="D899" s="212"/>
      <c r="E899" s="213" t="s">
        <v>123</v>
      </c>
      <c r="F899" s="17">
        <f>69.2*9</f>
        <v>622.80000000000007</v>
      </c>
      <c r="G899" s="127">
        <v>0.1</v>
      </c>
      <c r="H899" s="33">
        <f>F899*(1+G899)</f>
        <v>685.08000000000015</v>
      </c>
      <c r="I899" s="34" t="s">
        <v>18</v>
      </c>
      <c r="J899" s="204">
        <f>J$202</f>
        <v>0</v>
      </c>
      <c r="K899" s="205">
        <f>J899*H899</f>
        <v>0</v>
      </c>
      <c r="L899" s="206"/>
    </row>
    <row r="900" spans="1:12" s="187" customFormat="1" x14ac:dyDescent="0.2">
      <c r="A900" s="111" t="str">
        <f>IF(F900&lt;&gt;"",1+MAX($A$7:A899),"")</f>
        <v/>
      </c>
      <c r="B900" s="2"/>
      <c r="C900" s="2"/>
      <c r="D900" s="214"/>
      <c r="E900" s="213"/>
      <c r="F900" s="17"/>
      <c r="G900" s="127"/>
      <c r="H900" s="33"/>
      <c r="I900" s="34"/>
      <c r="J900" s="204"/>
      <c r="K900" s="205"/>
      <c r="L900" s="206"/>
    </row>
    <row r="901" spans="1:12" s="187" customFormat="1" x14ac:dyDescent="0.2">
      <c r="A901" s="111" t="str">
        <f>IF(F901&lt;&gt;"",1+MAX($A$7:A900),"")</f>
        <v/>
      </c>
      <c r="B901" s="207"/>
      <c r="C901" s="207"/>
      <c r="D901" s="201"/>
      <c r="E901" s="208" t="s">
        <v>125</v>
      </c>
      <c r="F901" s="203"/>
      <c r="G901" s="25"/>
      <c r="H901" s="209"/>
      <c r="I901" s="5"/>
      <c r="J901" s="210"/>
      <c r="K901" s="211"/>
      <c r="L901" s="206"/>
    </row>
    <row r="902" spans="1:12" s="187" customFormat="1" ht="31.5" x14ac:dyDescent="0.2">
      <c r="A902" s="111">
        <f>IF(F902&lt;&gt;"",1+MAX($A$7:A901),"")</f>
        <v>318</v>
      </c>
      <c r="B902" s="2" t="s">
        <v>112</v>
      </c>
      <c r="C902" s="2" t="s">
        <v>111</v>
      </c>
      <c r="D902" s="212"/>
      <c r="E902" s="213" t="s">
        <v>205</v>
      </c>
      <c r="F902" s="17">
        <f>5.4*9</f>
        <v>48.6</v>
      </c>
      <c r="G902" s="127">
        <v>0.1</v>
      </c>
      <c r="H902" s="33">
        <f>F902*(1+G902)</f>
        <v>53.460000000000008</v>
      </c>
      <c r="I902" s="34" t="s">
        <v>18</v>
      </c>
      <c r="J902" s="204">
        <f>J$160</f>
        <v>0</v>
      </c>
      <c r="K902" s="205">
        <f>J902*H902</f>
        <v>0</v>
      </c>
      <c r="L902" s="206"/>
    </row>
    <row r="903" spans="1:12" s="187" customFormat="1" x14ac:dyDescent="0.2">
      <c r="A903" s="111" t="str">
        <f>IF(F903&lt;&gt;"",1+MAX($A$7:A902),"")</f>
        <v/>
      </c>
      <c r="B903" s="45"/>
      <c r="C903" s="45"/>
      <c r="D903" s="214"/>
      <c r="E903" s="215" t="s">
        <v>48</v>
      </c>
      <c r="F903" s="216"/>
      <c r="G903" s="217"/>
      <c r="H903" s="33">
        <f>ROUNDUP((H902)/32,0)</f>
        <v>2</v>
      </c>
      <c r="I903" s="34" t="s">
        <v>49</v>
      </c>
      <c r="J903" s="204"/>
      <c r="K903" s="205"/>
      <c r="L903" s="206"/>
    </row>
    <row r="904" spans="1:12" s="187" customFormat="1" x14ac:dyDescent="0.2">
      <c r="A904" s="111" t="str">
        <f>IF(F904&lt;&gt;"",1+MAX($A$7:A903),"")</f>
        <v/>
      </c>
      <c r="B904" s="45"/>
      <c r="C904" s="45"/>
      <c r="D904" s="214"/>
      <c r="E904" s="215" t="s">
        <v>50</v>
      </c>
      <c r="F904" s="216"/>
      <c r="G904" s="217"/>
      <c r="H904" s="33">
        <f>ROUNDUP(H903*24/500,0)</f>
        <v>1</v>
      </c>
      <c r="I904" s="34" t="s">
        <v>51</v>
      </c>
      <c r="J904" s="204"/>
      <c r="K904" s="205"/>
      <c r="L904" s="206"/>
    </row>
    <row r="905" spans="1:12" s="187" customFormat="1" x14ac:dyDescent="0.2">
      <c r="A905" s="111" t="str">
        <f>IF(F905&lt;&gt;"",1+MAX($A$7:A904),"")</f>
        <v/>
      </c>
      <c r="B905" s="45"/>
      <c r="C905" s="45"/>
      <c r="D905" s="214"/>
      <c r="E905" s="215" t="s">
        <v>52</v>
      </c>
      <c r="F905" s="216"/>
      <c r="G905" s="217"/>
      <c r="H905" s="218">
        <f>ROUNDUP((H902)/200,0)</f>
        <v>1</v>
      </c>
      <c r="I905" s="34" t="s">
        <v>53</v>
      </c>
      <c r="J905" s="204"/>
      <c r="K905" s="205"/>
      <c r="L905" s="206"/>
    </row>
    <row r="906" spans="1:12" s="187" customFormat="1" x14ac:dyDescent="0.2">
      <c r="A906" s="111" t="str">
        <f>IF(F906&lt;&gt;"",1+MAX($A$7:A905),"")</f>
        <v/>
      </c>
      <c r="B906" s="45"/>
      <c r="C906" s="45"/>
      <c r="D906" s="214"/>
      <c r="E906" s="215" t="s">
        <v>54</v>
      </c>
      <c r="F906" s="216"/>
      <c r="G906" s="217"/>
      <c r="H906" s="218">
        <f>ROUNDUP((H902)*5.25/1000,0)</f>
        <v>1</v>
      </c>
      <c r="I906" s="34" t="s">
        <v>55</v>
      </c>
      <c r="J906" s="204"/>
      <c r="K906" s="205"/>
      <c r="L906" s="206"/>
    </row>
    <row r="907" spans="1:12" s="187" customFormat="1" x14ac:dyDescent="0.2">
      <c r="A907" s="111">
        <f>IF(F907&lt;&gt;"",1+MAX($A$7:A906),"")</f>
        <v>319</v>
      </c>
      <c r="B907" s="2" t="s">
        <v>112</v>
      </c>
      <c r="C907" s="2" t="s">
        <v>111</v>
      </c>
      <c r="D907" s="214"/>
      <c r="E907" s="213" t="s">
        <v>109</v>
      </c>
      <c r="F907" s="17">
        <f>5.4*2</f>
        <v>10.8</v>
      </c>
      <c r="G907" s="127">
        <v>0.1</v>
      </c>
      <c r="H907" s="33">
        <f>F907*(1+G907)</f>
        <v>11.880000000000003</v>
      </c>
      <c r="I907" s="34" t="s">
        <v>15</v>
      </c>
      <c r="J907" s="204">
        <f>J$148</f>
        <v>0</v>
      </c>
      <c r="K907" s="205">
        <f>J907*H907</f>
        <v>0</v>
      </c>
      <c r="L907" s="206"/>
    </row>
    <row r="908" spans="1:12" s="187" customFormat="1" x14ac:dyDescent="0.2">
      <c r="A908" s="111">
        <f>IF(F908&lt;&gt;"",1+MAX($A$7:A907),"")</f>
        <v>320</v>
      </c>
      <c r="B908" s="2" t="s">
        <v>112</v>
      </c>
      <c r="C908" s="2" t="s">
        <v>111</v>
      </c>
      <c r="D908" s="212"/>
      <c r="E908" s="213" t="s">
        <v>126</v>
      </c>
      <c r="F908" s="17">
        <f>5.4*9</f>
        <v>48.6</v>
      </c>
      <c r="G908" s="127">
        <v>0.1</v>
      </c>
      <c r="H908" s="33">
        <f>F908*(1+G908)</f>
        <v>53.460000000000008</v>
      </c>
      <c r="I908" s="34" t="s">
        <v>18</v>
      </c>
      <c r="J908" s="204">
        <f>J$618</f>
        <v>0</v>
      </c>
      <c r="K908" s="205">
        <f>J908*H908</f>
        <v>0</v>
      </c>
      <c r="L908" s="206"/>
    </row>
    <row r="909" spans="1:12" s="187" customFormat="1" x14ac:dyDescent="0.2">
      <c r="A909" s="111">
        <f>IF(F909&lt;&gt;"",1+MAX($A$7:A908),"")</f>
        <v>321</v>
      </c>
      <c r="B909" s="2" t="s">
        <v>112</v>
      </c>
      <c r="C909" s="2" t="s">
        <v>111</v>
      </c>
      <c r="D909" s="212"/>
      <c r="E909" s="213" t="s">
        <v>123</v>
      </c>
      <c r="F909" s="17">
        <f>5.4*9</f>
        <v>48.6</v>
      </c>
      <c r="G909" s="127">
        <v>0.1</v>
      </c>
      <c r="H909" s="33">
        <f>F909*(1+G909)</f>
        <v>53.460000000000008</v>
      </c>
      <c r="I909" s="34" t="s">
        <v>18</v>
      </c>
      <c r="J909" s="204">
        <f>J$202</f>
        <v>0</v>
      </c>
      <c r="K909" s="205">
        <f>J909*H909</f>
        <v>0</v>
      </c>
      <c r="L909" s="206"/>
    </row>
    <row r="910" spans="1:12" s="187" customFormat="1" x14ac:dyDescent="0.2">
      <c r="A910" s="111" t="str">
        <f>IF(F910&lt;&gt;"",1+MAX($A$7:A909),"")</f>
        <v/>
      </c>
      <c r="B910" s="2"/>
      <c r="C910" s="2"/>
      <c r="D910" s="214"/>
      <c r="E910" s="213"/>
      <c r="F910" s="17"/>
      <c r="G910" s="127"/>
      <c r="H910" s="33"/>
      <c r="I910" s="34"/>
      <c r="J910" s="204"/>
      <c r="K910" s="205"/>
      <c r="L910" s="206"/>
    </row>
    <row r="911" spans="1:12" s="187" customFormat="1" x14ac:dyDescent="0.2">
      <c r="A911" s="111" t="str">
        <f>IF(F911&lt;&gt;"",1+MAX($A$7:A910),"")</f>
        <v/>
      </c>
      <c r="B911" s="207"/>
      <c r="C911" s="207"/>
      <c r="D911" s="201"/>
      <c r="E911" s="208" t="s">
        <v>127</v>
      </c>
      <c r="F911" s="203"/>
      <c r="G911" s="25"/>
      <c r="H911" s="209"/>
      <c r="I911" s="5"/>
      <c r="J911" s="210"/>
      <c r="K911" s="211"/>
      <c r="L911" s="206"/>
    </row>
    <row r="912" spans="1:12" s="187" customFormat="1" x14ac:dyDescent="0.2">
      <c r="A912" s="111">
        <f>IF(F912&lt;&gt;"",1+MAX($A$7:A911),"")</f>
        <v>322</v>
      </c>
      <c r="B912" s="2" t="s">
        <v>112</v>
      </c>
      <c r="C912" s="2" t="s">
        <v>111</v>
      </c>
      <c r="D912" s="212"/>
      <c r="E912" s="213" t="s">
        <v>107</v>
      </c>
      <c r="F912" s="17">
        <f>47.2*9*2</f>
        <v>849.6</v>
      </c>
      <c r="G912" s="127">
        <v>0.1</v>
      </c>
      <c r="H912" s="33">
        <f>F912*(1+G912)</f>
        <v>934.56000000000006</v>
      </c>
      <c r="I912" s="34" t="s">
        <v>18</v>
      </c>
      <c r="J912" s="204">
        <f>J$143</f>
        <v>0</v>
      </c>
      <c r="K912" s="205">
        <f>J912*H912</f>
        <v>0</v>
      </c>
      <c r="L912" s="206"/>
    </row>
    <row r="913" spans="1:12" s="187" customFormat="1" x14ac:dyDescent="0.2">
      <c r="A913" s="111" t="str">
        <f>IF(F913&lt;&gt;"",1+MAX($A$7:A912),"")</f>
        <v/>
      </c>
      <c r="B913" s="45"/>
      <c r="C913" s="45"/>
      <c r="D913" s="214"/>
      <c r="E913" s="215" t="s">
        <v>48</v>
      </c>
      <c r="F913" s="216"/>
      <c r="G913" s="217"/>
      <c r="H913" s="33">
        <f>ROUNDUP((H912)/32,0)</f>
        <v>30</v>
      </c>
      <c r="I913" s="34" t="s">
        <v>49</v>
      </c>
      <c r="J913" s="204"/>
      <c r="K913" s="205"/>
      <c r="L913" s="206"/>
    </row>
    <row r="914" spans="1:12" s="187" customFormat="1" x14ac:dyDescent="0.2">
      <c r="A914" s="111" t="str">
        <f>IF(F914&lt;&gt;"",1+MAX($A$7:A913),"")</f>
        <v/>
      </c>
      <c r="B914" s="45"/>
      <c r="C914" s="45"/>
      <c r="D914" s="214"/>
      <c r="E914" s="215" t="s">
        <v>50</v>
      </c>
      <c r="F914" s="216"/>
      <c r="G914" s="217"/>
      <c r="H914" s="33">
        <f>ROUNDUP(H913*24/500,0)</f>
        <v>2</v>
      </c>
      <c r="I914" s="34" t="s">
        <v>51</v>
      </c>
      <c r="J914" s="204"/>
      <c r="K914" s="205"/>
      <c r="L914" s="206"/>
    </row>
    <row r="915" spans="1:12" s="187" customFormat="1" x14ac:dyDescent="0.2">
      <c r="A915" s="111" t="str">
        <f>IF(F915&lt;&gt;"",1+MAX($A$7:A914),"")</f>
        <v/>
      </c>
      <c r="B915" s="45"/>
      <c r="C915" s="45"/>
      <c r="D915" s="214"/>
      <c r="E915" s="215" t="s">
        <v>52</v>
      </c>
      <c r="F915" s="216"/>
      <c r="G915" s="217"/>
      <c r="H915" s="218">
        <f>ROUNDUP((H912)/200,0)</f>
        <v>5</v>
      </c>
      <c r="I915" s="34" t="s">
        <v>53</v>
      </c>
      <c r="J915" s="204"/>
      <c r="K915" s="205"/>
      <c r="L915" s="206"/>
    </row>
    <row r="916" spans="1:12" s="187" customFormat="1" x14ac:dyDescent="0.2">
      <c r="A916" s="111" t="str">
        <f>IF(F916&lt;&gt;"",1+MAX($A$7:A915),"")</f>
        <v/>
      </c>
      <c r="B916" s="45"/>
      <c r="C916" s="45"/>
      <c r="D916" s="214"/>
      <c r="E916" s="215" t="s">
        <v>54</v>
      </c>
      <c r="F916" s="216"/>
      <c r="G916" s="217"/>
      <c r="H916" s="218">
        <f>ROUNDUP((H912)*5.25/1000,0)</f>
        <v>5</v>
      </c>
      <c r="I916" s="34" t="s">
        <v>55</v>
      </c>
      <c r="J916" s="204"/>
      <c r="K916" s="205"/>
      <c r="L916" s="206"/>
    </row>
    <row r="917" spans="1:12" s="187" customFormat="1" x14ac:dyDescent="0.2">
      <c r="A917" s="111">
        <f>IF(F917&lt;&gt;"",1+MAX($A$7:A916),"")</f>
        <v>323</v>
      </c>
      <c r="B917" s="2" t="s">
        <v>112</v>
      </c>
      <c r="C917" s="2" t="s">
        <v>111</v>
      </c>
      <c r="D917" s="214"/>
      <c r="E917" s="213" t="s">
        <v>109</v>
      </c>
      <c r="F917" s="17">
        <f>47.2*4</f>
        <v>188.8</v>
      </c>
      <c r="G917" s="127">
        <v>0.1</v>
      </c>
      <c r="H917" s="33">
        <f>F917*(1+G917)</f>
        <v>207.68000000000004</v>
      </c>
      <c r="I917" s="34" t="s">
        <v>15</v>
      </c>
      <c r="J917" s="204">
        <f>J$148</f>
        <v>0</v>
      </c>
      <c r="K917" s="205">
        <f>J917*H917</f>
        <v>0</v>
      </c>
      <c r="L917" s="206"/>
    </row>
    <row r="918" spans="1:12" s="187" customFormat="1" x14ac:dyDescent="0.2">
      <c r="A918" s="111">
        <f>IF(F918&lt;&gt;"",1+MAX($A$7:A917),"")</f>
        <v>324</v>
      </c>
      <c r="B918" s="2" t="s">
        <v>112</v>
      </c>
      <c r="C918" s="2" t="s">
        <v>111</v>
      </c>
      <c r="D918" s="212"/>
      <c r="E918" s="213" t="s">
        <v>116</v>
      </c>
      <c r="F918" s="17">
        <f>47.2*9</f>
        <v>424.8</v>
      </c>
      <c r="G918" s="127">
        <v>0.1</v>
      </c>
      <c r="H918" s="33">
        <f>F918*(1+G918)</f>
        <v>467.28000000000003</v>
      </c>
      <c r="I918" s="34" t="s">
        <v>18</v>
      </c>
      <c r="J918" s="204">
        <f>J$251</f>
        <v>0</v>
      </c>
      <c r="K918" s="205">
        <f>J918*H918</f>
        <v>0</v>
      </c>
      <c r="L918" s="206"/>
    </row>
    <row r="919" spans="1:12" s="187" customFormat="1" x14ac:dyDescent="0.2">
      <c r="A919" s="111">
        <f>IF(F919&lt;&gt;"",1+MAX($A$7:A918),"")</f>
        <v>325</v>
      </c>
      <c r="B919" s="2" t="s">
        <v>112</v>
      </c>
      <c r="C919" s="2" t="s">
        <v>111</v>
      </c>
      <c r="D919" s="212"/>
      <c r="E919" s="213" t="s">
        <v>123</v>
      </c>
      <c r="F919" s="17">
        <f>47.2*9</f>
        <v>424.8</v>
      </c>
      <c r="G919" s="127">
        <v>0.1</v>
      </c>
      <c r="H919" s="33">
        <f>F919*(1+G919)</f>
        <v>467.28000000000003</v>
      </c>
      <c r="I919" s="34" t="s">
        <v>18</v>
      </c>
      <c r="J919" s="204">
        <f>J$202</f>
        <v>0</v>
      </c>
      <c r="K919" s="205">
        <f>J919*H919</f>
        <v>0</v>
      </c>
      <c r="L919" s="206"/>
    </row>
    <row r="920" spans="1:12" s="187" customFormat="1" x14ac:dyDescent="0.2">
      <c r="A920" s="111" t="str">
        <f>IF(F920&lt;&gt;"",1+MAX($A$7:A919),"")</f>
        <v/>
      </c>
      <c r="B920" s="2"/>
      <c r="C920" s="2"/>
      <c r="D920" s="214"/>
      <c r="E920" s="213"/>
      <c r="F920" s="17"/>
      <c r="G920" s="127"/>
      <c r="H920" s="33"/>
      <c r="I920" s="34"/>
      <c r="J920" s="204"/>
      <c r="K920" s="205"/>
      <c r="L920" s="206"/>
    </row>
    <row r="921" spans="1:12" s="187" customFormat="1" x14ac:dyDescent="0.2">
      <c r="A921" s="111" t="str">
        <f>IF(F921&lt;&gt;"",1+MAX($A$7:A920),"")</f>
        <v/>
      </c>
      <c r="B921" s="207"/>
      <c r="C921" s="207"/>
      <c r="D921" s="201"/>
      <c r="E921" s="208" t="s">
        <v>128</v>
      </c>
      <c r="F921" s="203"/>
      <c r="G921" s="25"/>
      <c r="H921" s="209"/>
      <c r="I921" s="5"/>
      <c r="J921" s="210"/>
      <c r="K921" s="211"/>
      <c r="L921" s="206"/>
    </row>
    <row r="922" spans="1:12" s="187" customFormat="1" x14ac:dyDescent="0.2">
      <c r="A922" s="111">
        <f>IF(F922&lt;&gt;"",1+MAX($A$7:A921),"")</f>
        <v>326</v>
      </c>
      <c r="B922" s="2" t="s">
        <v>112</v>
      </c>
      <c r="C922" s="2" t="s">
        <v>111</v>
      </c>
      <c r="D922" s="212"/>
      <c r="E922" s="213" t="s">
        <v>122</v>
      </c>
      <c r="F922" s="17">
        <f>37.2*9</f>
        <v>334.8</v>
      </c>
      <c r="G922" s="127">
        <v>0.1</v>
      </c>
      <c r="H922" s="33">
        <f>F922*(1+G922)</f>
        <v>368.28000000000003</v>
      </c>
      <c r="I922" s="34" t="s">
        <v>18</v>
      </c>
      <c r="J922" s="204">
        <f>J$143</f>
        <v>0</v>
      </c>
      <c r="K922" s="205">
        <f>J922*H922</f>
        <v>0</v>
      </c>
      <c r="L922" s="206"/>
    </row>
    <row r="923" spans="1:12" s="187" customFormat="1" x14ac:dyDescent="0.2">
      <c r="A923" s="111" t="str">
        <f>IF(F923&lt;&gt;"",1+MAX($A$7:A922),"")</f>
        <v/>
      </c>
      <c r="B923" s="45"/>
      <c r="C923" s="45"/>
      <c r="D923" s="214"/>
      <c r="E923" s="215" t="s">
        <v>48</v>
      </c>
      <c r="F923" s="216"/>
      <c r="G923" s="217"/>
      <c r="H923" s="33">
        <f>ROUNDUP((H922)/32,0)</f>
        <v>12</v>
      </c>
      <c r="I923" s="34" t="s">
        <v>49</v>
      </c>
      <c r="J923" s="204"/>
      <c r="K923" s="205"/>
      <c r="L923" s="206"/>
    </row>
    <row r="924" spans="1:12" s="187" customFormat="1" x14ac:dyDescent="0.2">
      <c r="A924" s="111" t="str">
        <f>IF(F924&lt;&gt;"",1+MAX($A$7:A923),"")</f>
        <v/>
      </c>
      <c r="B924" s="45"/>
      <c r="C924" s="45"/>
      <c r="D924" s="214"/>
      <c r="E924" s="215" t="s">
        <v>50</v>
      </c>
      <c r="F924" s="216"/>
      <c r="G924" s="217"/>
      <c r="H924" s="33">
        <f>ROUNDUP(H923*24/500,0)</f>
        <v>1</v>
      </c>
      <c r="I924" s="34" t="s">
        <v>51</v>
      </c>
      <c r="J924" s="204"/>
      <c r="K924" s="205"/>
      <c r="L924" s="206"/>
    </row>
    <row r="925" spans="1:12" s="187" customFormat="1" x14ac:dyDescent="0.2">
      <c r="A925" s="111" t="str">
        <f>IF(F925&lt;&gt;"",1+MAX($A$7:A924),"")</f>
        <v/>
      </c>
      <c r="B925" s="45"/>
      <c r="C925" s="45"/>
      <c r="D925" s="214"/>
      <c r="E925" s="215" t="s">
        <v>52</v>
      </c>
      <c r="F925" s="216"/>
      <c r="G925" s="217"/>
      <c r="H925" s="218">
        <f>ROUNDUP((H922)/200,0)</f>
        <v>2</v>
      </c>
      <c r="I925" s="34" t="s">
        <v>53</v>
      </c>
      <c r="J925" s="204"/>
      <c r="K925" s="205"/>
      <c r="L925" s="206"/>
    </row>
    <row r="926" spans="1:12" s="187" customFormat="1" x14ac:dyDescent="0.2">
      <c r="A926" s="111" t="str">
        <f>IF(F926&lt;&gt;"",1+MAX($A$7:A925),"")</f>
        <v/>
      </c>
      <c r="B926" s="45"/>
      <c r="C926" s="45"/>
      <c r="D926" s="214"/>
      <c r="E926" s="215" t="s">
        <v>54</v>
      </c>
      <c r="F926" s="216"/>
      <c r="G926" s="217"/>
      <c r="H926" s="218">
        <f>ROUNDUP((H922)*5.25/1000,0)</f>
        <v>2</v>
      </c>
      <c r="I926" s="34" t="s">
        <v>55</v>
      </c>
      <c r="J926" s="204"/>
      <c r="K926" s="205"/>
      <c r="L926" s="206"/>
    </row>
    <row r="927" spans="1:12" s="187" customFormat="1" x14ac:dyDescent="0.2">
      <c r="A927" s="111">
        <f>IF(F927&lt;&gt;"",1+MAX($A$7:A926),"")</f>
        <v>327</v>
      </c>
      <c r="B927" s="2" t="s">
        <v>112</v>
      </c>
      <c r="C927" s="2" t="s">
        <v>111</v>
      </c>
      <c r="D927" s="212"/>
      <c r="E927" s="213" t="s">
        <v>108</v>
      </c>
      <c r="F927" s="17">
        <f>10.5*9</f>
        <v>94.5</v>
      </c>
      <c r="G927" s="127">
        <v>0.1</v>
      </c>
      <c r="H927" s="33">
        <f>F927*(1+G927)</f>
        <v>103.95</v>
      </c>
      <c r="I927" s="34" t="s">
        <v>18</v>
      </c>
      <c r="J927" s="204">
        <f>J$160</f>
        <v>0</v>
      </c>
      <c r="K927" s="205">
        <f>J927*H927</f>
        <v>0</v>
      </c>
      <c r="L927" s="206"/>
    </row>
    <row r="928" spans="1:12" s="187" customFormat="1" x14ac:dyDescent="0.2">
      <c r="A928" s="111" t="str">
        <f>IF(F928&lt;&gt;"",1+MAX($A$7:A927),"")</f>
        <v/>
      </c>
      <c r="B928" s="45"/>
      <c r="C928" s="45"/>
      <c r="D928" s="214"/>
      <c r="E928" s="215" t="s">
        <v>48</v>
      </c>
      <c r="F928" s="216"/>
      <c r="G928" s="217"/>
      <c r="H928" s="33">
        <f>ROUNDUP((H927)/32,0)</f>
        <v>4</v>
      </c>
      <c r="I928" s="34" t="s">
        <v>49</v>
      </c>
      <c r="J928" s="204"/>
      <c r="K928" s="205"/>
      <c r="L928" s="206"/>
    </row>
    <row r="929" spans="1:12" s="187" customFormat="1" x14ac:dyDescent="0.2">
      <c r="A929" s="111" t="str">
        <f>IF(F929&lt;&gt;"",1+MAX($A$7:A928),"")</f>
        <v/>
      </c>
      <c r="B929" s="45"/>
      <c r="C929" s="45"/>
      <c r="D929" s="214"/>
      <c r="E929" s="215" t="s">
        <v>50</v>
      </c>
      <c r="F929" s="216"/>
      <c r="G929" s="217"/>
      <c r="H929" s="33">
        <f>ROUNDUP(H928*24/500,0)</f>
        <v>1</v>
      </c>
      <c r="I929" s="34" t="s">
        <v>51</v>
      </c>
      <c r="J929" s="204"/>
      <c r="K929" s="205"/>
      <c r="L929" s="206"/>
    </row>
    <row r="930" spans="1:12" s="187" customFormat="1" x14ac:dyDescent="0.2">
      <c r="A930" s="111" t="str">
        <f>IF(F930&lt;&gt;"",1+MAX($A$7:A929),"")</f>
        <v/>
      </c>
      <c r="B930" s="45"/>
      <c r="C930" s="45"/>
      <c r="D930" s="214"/>
      <c r="E930" s="215" t="s">
        <v>52</v>
      </c>
      <c r="F930" s="216"/>
      <c r="G930" s="217"/>
      <c r="H930" s="218">
        <f>ROUNDUP((H927)/200,0)</f>
        <v>1</v>
      </c>
      <c r="I930" s="34" t="s">
        <v>53</v>
      </c>
      <c r="J930" s="204"/>
      <c r="K930" s="205"/>
      <c r="L930" s="206"/>
    </row>
    <row r="931" spans="1:12" s="187" customFormat="1" x14ac:dyDescent="0.2">
      <c r="A931" s="111" t="str">
        <f>IF(F931&lt;&gt;"",1+MAX($A$7:A930),"")</f>
        <v/>
      </c>
      <c r="B931" s="45"/>
      <c r="C931" s="45"/>
      <c r="D931" s="214"/>
      <c r="E931" s="215" t="s">
        <v>54</v>
      </c>
      <c r="F931" s="216"/>
      <c r="G931" s="217"/>
      <c r="H931" s="218">
        <f>ROUNDUP((H927)*5.25/1000,0)</f>
        <v>1</v>
      </c>
      <c r="I931" s="34" t="s">
        <v>55</v>
      </c>
      <c r="J931" s="204"/>
      <c r="K931" s="205"/>
      <c r="L931" s="206"/>
    </row>
    <row r="932" spans="1:12" s="187" customFormat="1" x14ac:dyDescent="0.2">
      <c r="A932" s="111">
        <f>IF(F932&lt;&gt;"",1+MAX($A$7:A931),"")</f>
        <v>328</v>
      </c>
      <c r="B932" s="2" t="s">
        <v>112</v>
      </c>
      <c r="C932" s="2" t="s">
        <v>111</v>
      </c>
      <c r="D932" s="214"/>
      <c r="E932" s="213" t="s">
        <v>109</v>
      </c>
      <c r="F932" s="17">
        <f>47.7*2</f>
        <v>95.4</v>
      </c>
      <c r="G932" s="127">
        <v>0.1</v>
      </c>
      <c r="H932" s="33">
        <f>F932*(1+G932)</f>
        <v>104.94000000000001</v>
      </c>
      <c r="I932" s="34" t="s">
        <v>15</v>
      </c>
      <c r="J932" s="204">
        <f>J$148</f>
        <v>0</v>
      </c>
      <c r="K932" s="205">
        <f>J932*H932</f>
        <v>0</v>
      </c>
      <c r="L932" s="206"/>
    </row>
    <row r="933" spans="1:12" s="187" customFormat="1" x14ac:dyDescent="0.2">
      <c r="A933" s="111">
        <f>IF(F933&lt;&gt;"",1+MAX($A$7:A932),"")</f>
        <v>329</v>
      </c>
      <c r="B933" s="2" t="s">
        <v>112</v>
      </c>
      <c r="C933" s="2" t="s">
        <v>111</v>
      </c>
      <c r="D933" s="212"/>
      <c r="E933" s="213" t="s">
        <v>118</v>
      </c>
      <c r="F933" s="17">
        <f>47.7*9</f>
        <v>429.3</v>
      </c>
      <c r="G933" s="127">
        <v>0.1</v>
      </c>
      <c r="H933" s="33">
        <f>F933*(1+G933)</f>
        <v>472.23000000000008</v>
      </c>
      <c r="I933" s="34" t="s">
        <v>18</v>
      </c>
      <c r="J933" s="204">
        <f>J$187</f>
        <v>0</v>
      </c>
      <c r="K933" s="205">
        <f>J933*H933</f>
        <v>0</v>
      </c>
      <c r="L933" s="206"/>
    </row>
    <row r="934" spans="1:12" s="187" customFormat="1" x14ac:dyDescent="0.2">
      <c r="A934" s="111">
        <f>IF(F934&lt;&gt;"",1+MAX($A$7:A933),"")</f>
        <v>330</v>
      </c>
      <c r="B934" s="2" t="s">
        <v>112</v>
      </c>
      <c r="C934" s="2" t="s">
        <v>111</v>
      </c>
      <c r="D934" s="212"/>
      <c r="E934" s="213" t="s">
        <v>123</v>
      </c>
      <c r="F934" s="17">
        <f>47.7*9</f>
        <v>429.3</v>
      </c>
      <c r="G934" s="127">
        <v>0.1</v>
      </c>
      <c r="H934" s="33">
        <f>F934*(1+G934)</f>
        <v>472.23000000000008</v>
      </c>
      <c r="I934" s="34" t="s">
        <v>18</v>
      </c>
      <c r="J934" s="204">
        <f>J$202</f>
        <v>0</v>
      </c>
      <c r="K934" s="205">
        <f>J934*H934</f>
        <v>0</v>
      </c>
      <c r="L934" s="206"/>
    </row>
    <row r="935" spans="1:12" s="187" customFormat="1" x14ac:dyDescent="0.2">
      <c r="A935" s="111" t="str">
        <f>IF(F935&lt;&gt;"",1+MAX($A$7:A934),"")</f>
        <v/>
      </c>
      <c r="B935" s="2"/>
      <c r="C935" s="2"/>
      <c r="D935" s="214"/>
      <c r="E935" s="213"/>
      <c r="F935" s="17"/>
      <c r="G935" s="127"/>
      <c r="H935" s="33"/>
      <c r="I935" s="34"/>
      <c r="J935" s="204"/>
      <c r="K935" s="205"/>
      <c r="L935" s="206"/>
    </row>
    <row r="936" spans="1:12" s="187" customFormat="1" x14ac:dyDescent="0.2">
      <c r="A936" s="111" t="str">
        <f>IF(F936&lt;&gt;"",1+MAX($A$7:A935),"")</f>
        <v/>
      </c>
      <c r="B936" s="207"/>
      <c r="C936" s="207"/>
      <c r="D936" s="201"/>
      <c r="E936" s="208" t="s">
        <v>129</v>
      </c>
      <c r="F936" s="203"/>
      <c r="G936" s="25"/>
      <c r="H936" s="209"/>
      <c r="I936" s="5"/>
      <c r="J936" s="210"/>
      <c r="K936" s="211"/>
      <c r="L936" s="206"/>
    </row>
    <row r="937" spans="1:12" s="187" customFormat="1" x14ac:dyDescent="0.2">
      <c r="A937" s="111">
        <f>IF(F937&lt;&gt;"",1+MAX($A$7:A936),"")</f>
        <v>331</v>
      </c>
      <c r="B937" s="2" t="s">
        <v>112</v>
      </c>
      <c r="C937" s="2" t="s">
        <v>111</v>
      </c>
      <c r="D937" s="212"/>
      <c r="E937" s="213" t="s">
        <v>122</v>
      </c>
      <c r="F937" s="17">
        <f>38.1*9</f>
        <v>342.90000000000003</v>
      </c>
      <c r="G937" s="127">
        <v>0.1</v>
      </c>
      <c r="H937" s="33">
        <f>F937*(1+G937)</f>
        <v>377.19000000000005</v>
      </c>
      <c r="I937" s="34" t="s">
        <v>18</v>
      </c>
      <c r="J937" s="204">
        <f>J$143</f>
        <v>0</v>
      </c>
      <c r="K937" s="205">
        <f>J937*H937</f>
        <v>0</v>
      </c>
      <c r="L937" s="206"/>
    </row>
    <row r="938" spans="1:12" s="187" customFormat="1" x14ac:dyDescent="0.2">
      <c r="A938" s="111" t="str">
        <f>IF(F938&lt;&gt;"",1+MAX($A$7:A937),"")</f>
        <v/>
      </c>
      <c r="B938" s="45"/>
      <c r="C938" s="45"/>
      <c r="D938" s="214"/>
      <c r="E938" s="215" t="s">
        <v>48</v>
      </c>
      <c r="F938" s="216"/>
      <c r="G938" s="217"/>
      <c r="H938" s="33">
        <f>ROUNDUP((H937)/32,0)</f>
        <v>12</v>
      </c>
      <c r="I938" s="34" t="s">
        <v>49</v>
      </c>
      <c r="J938" s="204"/>
      <c r="K938" s="205"/>
      <c r="L938" s="206"/>
    </row>
    <row r="939" spans="1:12" s="187" customFormat="1" x14ac:dyDescent="0.2">
      <c r="A939" s="111" t="str">
        <f>IF(F939&lt;&gt;"",1+MAX($A$7:A938),"")</f>
        <v/>
      </c>
      <c r="B939" s="45"/>
      <c r="C939" s="45"/>
      <c r="D939" s="214"/>
      <c r="E939" s="215" t="s">
        <v>50</v>
      </c>
      <c r="F939" s="216"/>
      <c r="G939" s="217"/>
      <c r="H939" s="33">
        <f>ROUNDUP(H938*24/500,0)</f>
        <v>1</v>
      </c>
      <c r="I939" s="34" t="s">
        <v>51</v>
      </c>
      <c r="J939" s="204"/>
      <c r="K939" s="205"/>
      <c r="L939" s="206"/>
    </row>
    <row r="940" spans="1:12" s="187" customFormat="1" x14ac:dyDescent="0.2">
      <c r="A940" s="111" t="str">
        <f>IF(F940&lt;&gt;"",1+MAX($A$7:A939),"")</f>
        <v/>
      </c>
      <c r="B940" s="45"/>
      <c r="C940" s="45"/>
      <c r="D940" s="214"/>
      <c r="E940" s="215" t="s">
        <v>52</v>
      </c>
      <c r="F940" s="216"/>
      <c r="G940" s="217"/>
      <c r="H940" s="218">
        <f>ROUNDUP((H937)/200,0)</f>
        <v>2</v>
      </c>
      <c r="I940" s="34" t="s">
        <v>53</v>
      </c>
      <c r="J940" s="204"/>
      <c r="K940" s="205"/>
      <c r="L940" s="206"/>
    </row>
    <row r="941" spans="1:12" s="187" customFormat="1" x14ac:dyDescent="0.2">
      <c r="A941" s="111" t="str">
        <f>IF(F941&lt;&gt;"",1+MAX($A$7:A940),"")</f>
        <v/>
      </c>
      <c r="B941" s="45"/>
      <c r="C941" s="45"/>
      <c r="D941" s="214"/>
      <c r="E941" s="215" t="s">
        <v>54</v>
      </c>
      <c r="F941" s="216"/>
      <c r="G941" s="217"/>
      <c r="H941" s="218">
        <f>ROUNDUP((H937)*5.25/1000,0)</f>
        <v>2</v>
      </c>
      <c r="I941" s="34" t="s">
        <v>55</v>
      </c>
      <c r="J941" s="204"/>
      <c r="K941" s="205"/>
      <c r="L941" s="206"/>
    </row>
    <row r="942" spans="1:12" s="187" customFormat="1" x14ac:dyDescent="0.2">
      <c r="A942" s="111">
        <f>IF(F942&lt;&gt;"",1+MAX($A$7:A941),"")</f>
        <v>332</v>
      </c>
      <c r="B942" s="2" t="s">
        <v>112</v>
      </c>
      <c r="C942" s="2" t="s">
        <v>111</v>
      </c>
      <c r="D942" s="212"/>
      <c r="E942" s="213" t="s">
        <v>108</v>
      </c>
      <c r="F942" s="17">
        <f>22*9</f>
        <v>198</v>
      </c>
      <c r="G942" s="127">
        <v>0.1</v>
      </c>
      <c r="H942" s="33">
        <f>F942*(1+G942)</f>
        <v>217.8</v>
      </c>
      <c r="I942" s="34" t="s">
        <v>18</v>
      </c>
      <c r="J942" s="204">
        <f>J$160</f>
        <v>0</v>
      </c>
      <c r="K942" s="205">
        <f>J942*H942</f>
        <v>0</v>
      </c>
      <c r="L942" s="206"/>
    </row>
    <row r="943" spans="1:12" s="187" customFormat="1" x14ac:dyDescent="0.2">
      <c r="A943" s="111" t="str">
        <f>IF(F943&lt;&gt;"",1+MAX($A$7:A942),"")</f>
        <v/>
      </c>
      <c r="B943" s="45"/>
      <c r="C943" s="45"/>
      <c r="D943" s="214"/>
      <c r="E943" s="215" t="s">
        <v>48</v>
      </c>
      <c r="F943" s="216"/>
      <c r="G943" s="217"/>
      <c r="H943" s="33">
        <f>ROUNDUP((H942)/32,0)</f>
        <v>7</v>
      </c>
      <c r="I943" s="34" t="s">
        <v>49</v>
      </c>
      <c r="J943" s="204"/>
      <c r="K943" s="205"/>
      <c r="L943" s="206"/>
    </row>
    <row r="944" spans="1:12" s="187" customFormat="1" x14ac:dyDescent="0.2">
      <c r="A944" s="111" t="str">
        <f>IF(F944&lt;&gt;"",1+MAX($A$7:A943),"")</f>
        <v/>
      </c>
      <c r="B944" s="45"/>
      <c r="C944" s="45"/>
      <c r="D944" s="214"/>
      <c r="E944" s="215" t="s">
        <v>50</v>
      </c>
      <c r="F944" s="216"/>
      <c r="G944" s="217"/>
      <c r="H944" s="33">
        <f>ROUNDUP(H943*24/500,0)</f>
        <v>1</v>
      </c>
      <c r="I944" s="34" t="s">
        <v>51</v>
      </c>
      <c r="J944" s="204"/>
      <c r="K944" s="205"/>
      <c r="L944" s="206"/>
    </row>
    <row r="945" spans="1:12" s="187" customFormat="1" x14ac:dyDescent="0.2">
      <c r="A945" s="111" t="str">
        <f>IF(F945&lt;&gt;"",1+MAX($A$7:A944),"")</f>
        <v/>
      </c>
      <c r="B945" s="45"/>
      <c r="C945" s="45"/>
      <c r="D945" s="214"/>
      <c r="E945" s="215" t="s">
        <v>52</v>
      </c>
      <c r="F945" s="216"/>
      <c r="G945" s="217"/>
      <c r="H945" s="218">
        <f>ROUNDUP((H942)/200,0)</f>
        <v>2</v>
      </c>
      <c r="I945" s="34" t="s">
        <v>53</v>
      </c>
      <c r="J945" s="204"/>
      <c r="K945" s="205"/>
      <c r="L945" s="206"/>
    </row>
    <row r="946" spans="1:12" s="187" customFormat="1" x14ac:dyDescent="0.2">
      <c r="A946" s="111" t="str">
        <f>IF(F946&lt;&gt;"",1+MAX($A$7:A945),"")</f>
        <v/>
      </c>
      <c r="B946" s="45"/>
      <c r="C946" s="45"/>
      <c r="D946" s="214"/>
      <c r="E946" s="215" t="s">
        <v>54</v>
      </c>
      <c r="F946" s="216"/>
      <c r="G946" s="217"/>
      <c r="H946" s="218">
        <f>ROUNDUP((H942)*5.25/1000,0)</f>
        <v>2</v>
      </c>
      <c r="I946" s="34" t="s">
        <v>55</v>
      </c>
      <c r="J946" s="204"/>
      <c r="K946" s="205"/>
      <c r="L946" s="206"/>
    </row>
    <row r="947" spans="1:12" s="187" customFormat="1" x14ac:dyDescent="0.2">
      <c r="A947" s="111">
        <f>IF(F947&lt;&gt;"",1+MAX($A$7:A946),"")</f>
        <v>333</v>
      </c>
      <c r="B947" s="2" t="s">
        <v>112</v>
      </c>
      <c r="C947" s="2" t="s">
        <v>111</v>
      </c>
      <c r="D947" s="214"/>
      <c r="E947" s="213" t="s">
        <v>109</v>
      </c>
      <c r="F947" s="17">
        <f>60.1*2</f>
        <v>120.2</v>
      </c>
      <c r="G947" s="127">
        <v>0.1</v>
      </c>
      <c r="H947" s="33">
        <f>F947*(1+G947)</f>
        <v>132.22000000000003</v>
      </c>
      <c r="I947" s="34" t="s">
        <v>15</v>
      </c>
      <c r="J947" s="204">
        <f>J$148</f>
        <v>0</v>
      </c>
      <c r="K947" s="205">
        <f>J947*H947</f>
        <v>0</v>
      </c>
      <c r="L947" s="206"/>
    </row>
    <row r="948" spans="1:12" s="187" customFormat="1" x14ac:dyDescent="0.2">
      <c r="A948" s="111">
        <f>IF(F948&lt;&gt;"",1+MAX($A$7:A947),"")</f>
        <v>334</v>
      </c>
      <c r="B948" s="2" t="s">
        <v>112</v>
      </c>
      <c r="C948" s="2" t="s">
        <v>111</v>
      </c>
      <c r="D948" s="212"/>
      <c r="E948" s="213" t="s">
        <v>484</v>
      </c>
      <c r="F948" s="17">
        <f>60.1*9</f>
        <v>540.9</v>
      </c>
      <c r="G948" s="127">
        <v>0.1</v>
      </c>
      <c r="H948" s="33">
        <f>F948*(1+G948)</f>
        <v>594.99</v>
      </c>
      <c r="I948" s="34" t="s">
        <v>18</v>
      </c>
      <c r="J948" s="204">
        <f>J$276</f>
        <v>0</v>
      </c>
      <c r="K948" s="205">
        <f>J948*H948</f>
        <v>0</v>
      </c>
      <c r="L948" s="206"/>
    </row>
    <row r="949" spans="1:12" s="187" customFormat="1" x14ac:dyDescent="0.2">
      <c r="A949" s="111">
        <f>IF(F949&lt;&gt;"",1+MAX($A$7:A948),"")</f>
        <v>335</v>
      </c>
      <c r="B949" s="2" t="s">
        <v>112</v>
      </c>
      <c r="C949" s="2" t="s">
        <v>111</v>
      </c>
      <c r="D949" s="212"/>
      <c r="E949" s="213" t="s">
        <v>123</v>
      </c>
      <c r="F949" s="17">
        <f>60.1*9</f>
        <v>540.9</v>
      </c>
      <c r="G949" s="127">
        <v>0.1</v>
      </c>
      <c r="H949" s="33">
        <f>F949*(1+G949)</f>
        <v>594.99</v>
      </c>
      <c r="I949" s="34" t="s">
        <v>18</v>
      </c>
      <c r="J949" s="204">
        <f>J$202</f>
        <v>0</v>
      </c>
      <c r="K949" s="205">
        <f>J949*H949</f>
        <v>0</v>
      </c>
      <c r="L949" s="206"/>
    </row>
    <row r="950" spans="1:12" s="187" customFormat="1" x14ac:dyDescent="0.2">
      <c r="A950" s="111" t="str">
        <f>IF(F950&lt;&gt;"",1+MAX($A$7:A949),"")</f>
        <v/>
      </c>
      <c r="B950" s="2"/>
      <c r="C950" s="2"/>
      <c r="D950" s="214"/>
      <c r="E950" s="213"/>
      <c r="F950" s="17"/>
      <c r="G950" s="127"/>
      <c r="H950" s="33"/>
      <c r="I950" s="34"/>
      <c r="J950" s="204"/>
      <c r="K950" s="205"/>
      <c r="L950" s="206"/>
    </row>
    <row r="951" spans="1:12" s="187" customFormat="1" x14ac:dyDescent="0.2">
      <c r="A951" s="111" t="str">
        <f>IF(F951&lt;&gt;"",1+MAX($A$7:A950),"")</f>
        <v/>
      </c>
      <c r="B951" s="207"/>
      <c r="C951" s="207"/>
      <c r="D951" s="201"/>
      <c r="E951" s="208" t="s">
        <v>130</v>
      </c>
      <c r="F951" s="203"/>
      <c r="G951" s="25"/>
      <c r="H951" s="209"/>
      <c r="I951" s="5"/>
      <c r="J951" s="210"/>
      <c r="K951" s="211"/>
      <c r="L951" s="206"/>
    </row>
    <row r="952" spans="1:12" s="187" customFormat="1" ht="31.5" x14ac:dyDescent="0.2">
      <c r="A952" s="111">
        <f>IF(F952&lt;&gt;"",1+MAX($A$7:A951),"")</f>
        <v>336</v>
      </c>
      <c r="B952" s="2" t="s">
        <v>112</v>
      </c>
      <c r="C952" s="2" t="s">
        <v>111</v>
      </c>
      <c r="D952" s="212"/>
      <c r="E952" s="213" t="s">
        <v>72</v>
      </c>
      <c r="F952" s="17">
        <f>(65+27.1)*9*2*2</f>
        <v>3315.6</v>
      </c>
      <c r="G952" s="127">
        <v>0.1</v>
      </c>
      <c r="H952" s="33">
        <f>F952*(1+G952)</f>
        <v>3647.1600000000003</v>
      </c>
      <c r="I952" s="34" t="s">
        <v>18</v>
      </c>
      <c r="J952" s="204">
        <f>J$143</f>
        <v>0</v>
      </c>
      <c r="K952" s="205">
        <f>J952*H952</f>
        <v>0</v>
      </c>
      <c r="L952" s="206"/>
    </row>
    <row r="953" spans="1:12" s="187" customFormat="1" x14ac:dyDescent="0.2">
      <c r="A953" s="111" t="str">
        <f>IF(F953&lt;&gt;"",1+MAX($A$7:A952),"")</f>
        <v/>
      </c>
      <c r="B953" s="45"/>
      <c r="C953" s="45"/>
      <c r="D953" s="214"/>
      <c r="E953" s="215" t="s">
        <v>48</v>
      </c>
      <c r="F953" s="216"/>
      <c r="G953" s="217"/>
      <c r="H953" s="33">
        <f>ROUNDUP((H952)/32,0)</f>
        <v>114</v>
      </c>
      <c r="I953" s="34" t="s">
        <v>49</v>
      </c>
      <c r="J953" s="204"/>
      <c r="K953" s="205"/>
      <c r="L953" s="206"/>
    </row>
    <row r="954" spans="1:12" s="187" customFormat="1" x14ac:dyDescent="0.2">
      <c r="A954" s="111" t="str">
        <f>IF(F954&lt;&gt;"",1+MAX($A$7:A953),"")</f>
        <v/>
      </c>
      <c r="B954" s="45"/>
      <c r="C954" s="45"/>
      <c r="D954" s="214"/>
      <c r="E954" s="215" t="s">
        <v>50</v>
      </c>
      <c r="F954" s="216"/>
      <c r="G954" s="217"/>
      <c r="H954" s="33">
        <f>ROUNDUP(H953*24/500,0)</f>
        <v>6</v>
      </c>
      <c r="I954" s="34" t="s">
        <v>51</v>
      </c>
      <c r="J954" s="204"/>
      <c r="K954" s="205"/>
      <c r="L954" s="206"/>
    </row>
    <row r="955" spans="1:12" s="187" customFormat="1" x14ac:dyDescent="0.2">
      <c r="A955" s="111" t="str">
        <f>IF(F955&lt;&gt;"",1+MAX($A$7:A954),"")</f>
        <v/>
      </c>
      <c r="B955" s="45"/>
      <c r="C955" s="45"/>
      <c r="D955" s="214"/>
      <c r="E955" s="215" t="s">
        <v>52</v>
      </c>
      <c r="F955" s="216"/>
      <c r="G955" s="217"/>
      <c r="H955" s="218">
        <f>ROUNDUP((H952)/200,0)</f>
        <v>19</v>
      </c>
      <c r="I955" s="34" t="s">
        <v>53</v>
      </c>
      <c r="J955" s="204"/>
      <c r="K955" s="205"/>
      <c r="L955" s="206"/>
    </row>
    <row r="956" spans="1:12" s="187" customFormat="1" x14ac:dyDescent="0.2">
      <c r="A956" s="111" t="str">
        <f>IF(F956&lt;&gt;"",1+MAX($A$7:A955),"")</f>
        <v/>
      </c>
      <c r="B956" s="45"/>
      <c r="C956" s="45"/>
      <c r="D956" s="214"/>
      <c r="E956" s="215" t="s">
        <v>54</v>
      </c>
      <c r="F956" s="216"/>
      <c r="G956" s="217"/>
      <c r="H956" s="218">
        <f>ROUNDUP((H952)*5.25/1000,0)</f>
        <v>20</v>
      </c>
      <c r="I956" s="34" t="s">
        <v>55</v>
      </c>
      <c r="J956" s="204"/>
      <c r="K956" s="205"/>
      <c r="L956" s="206"/>
    </row>
    <row r="957" spans="1:12" s="187" customFormat="1" x14ac:dyDescent="0.2">
      <c r="A957" s="111">
        <f>IF(F957&lt;&gt;"",1+MAX($A$7:A956),"")</f>
        <v>337</v>
      </c>
      <c r="B957" s="2" t="s">
        <v>112</v>
      </c>
      <c r="C957" s="2" t="s">
        <v>111</v>
      </c>
      <c r="D957" s="214"/>
      <c r="E957" s="213" t="s">
        <v>109</v>
      </c>
      <c r="F957" s="17">
        <f>(65+27.1)*4</f>
        <v>368.4</v>
      </c>
      <c r="G957" s="127">
        <v>0.1</v>
      </c>
      <c r="H957" s="33">
        <f>F957*(1+G957)</f>
        <v>405.24</v>
      </c>
      <c r="I957" s="34" t="s">
        <v>15</v>
      </c>
      <c r="J957" s="204">
        <f>J$148</f>
        <v>0</v>
      </c>
      <c r="K957" s="205">
        <f>J957*H957</f>
        <v>0</v>
      </c>
      <c r="L957" s="206"/>
    </row>
    <row r="958" spans="1:12" s="187" customFormat="1" x14ac:dyDescent="0.2">
      <c r="A958" s="111">
        <f>IF(F958&lt;&gt;"",1+MAX($A$7:A957),"")</f>
        <v>338</v>
      </c>
      <c r="B958" s="2" t="s">
        <v>112</v>
      </c>
      <c r="C958" s="2" t="s">
        <v>111</v>
      </c>
      <c r="D958" s="212"/>
      <c r="E958" s="213" t="s">
        <v>118</v>
      </c>
      <c r="F958" s="17">
        <f>(65+27.1)*9</f>
        <v>828.9</v>
      </c>
      <c r="G958" s="127">
        <v>0.1</v>
      </c>
      <c r="H958" s="33">
        <f>F958*(1+G958)</f>
        <v>911.79000000000008</v>
      </c>
      <c r="I958" s="34" t="s">
        <v>18</v>
      </c>
      <c r="J958" s="204">
        <f>J$187</f>
        <v>0</v>
      </c>
      <c r="K958" s="205">
        <f>J958*H958</f>
        <v>0</v>
      </c>
      <c r="L958" s="206"/>
    </row>
    <row r="959" spans="1:12" s="187" customFormat="1" x14ac:dyDescent="0.2">
      <c r="A959" s="111">
        <f>IF(F959&lt;&gt;"",1+MAX($A$7:A958),"")</f>
        <v>339</v>
      </c>
      <c r="B959" s="2" t="s">
        <v>112</v>
      </c>
      <c r="C959" s="2" t="s">
        <v>111</v>
      </c>
      <c r="D959" s="212"/>
      <c r="E959" s="213" t="s">
        <v>123</v>
      </c>
      <c r="F959" s="17">
        <f>(65+27.1)*9</f>
        <v>828.9</v>
      </c>
      <c r="G959" s="127">
        <v>0.1</v>
      </c>
      <c r="H959" s="33">
        <f>F959*(1+G959)</f>
        <v>911.79000000000008</v>
      </c>
      <c r="I959" s="34" t="s">
        <v>18</v>
      </c>
      <c r="J959" s="204">
        <f>J$202</f>
        <v>0</v>
      </c>
      <c r="K959" s="205">
        <f>J959*H959</f>
        <v>0</v>
      </c>
      <c r="L959" s="206"/>
    </row>
    <row r="960" spans="1:12" s="187" customFormat="1" x14ac:dyDescent="0.2">
      <c r="A960" s="111" t="str">
        <f>IF(F960&lt;&gt;"",1+MAX($A$7:A959),"")</f>
        <v/>
      </c>
      <c r="B960" s="2"/>
      <c r="C960" s="2"/>
      <c r="D960" s="214"/>
      <c r="E960" s="213"/>
      <c r="F960" s="17"/>
      <c r="G960" s="127"/>
      <c r="H960" s="33"/>
      <c r="I960" s="34"/>
      <c r="J960" s="204"/>
      <c r="K960" s="205"/>
      <c r="L960" s="206"/>
    </row>
    <row r="961" spans="1:12" s="187" customFormat="1" x14ac:dyDescent="0.2">
      <c r="A961" s="111" t="str">
        <f>IF(F961&lt;&gt;"",1+MAX($A$7:A960),"")</f>
        <v/>
      </c>
      <c r="B961" s="207"/>
      <c r="C961" s="207"/>
      <c r="D961" s="201"/>
      <c r="E961" s="208" t="s">
        <v>131</v>
      </c>
      <c r="F961" s="203"/>
      <c r="G961" s="25"/>
      <c r="H961" s="209"/>
      <c r="I961" s="5"/>
      <c r="J961" s="210"/>
      <c r="K961" s="211"/>
      <c r="L961" s="206"/>
    </row>
    <row r="962" spans="1:12" s="187" customFormat="1" ht="31.5" x14ac:dyDescent="0.2">
      <c r="A962" s="111">
        <f>IF(F962&lt;&gt;"",1+MAX($A$7:A961),"")</f>
        <v>340</v>
      </c>
      <c r="B962" s="2" t="s">
        <v>112</v>
      </c>
      <c r="C962" s="2" t="s">
        <v>111</v>
      </c>
      <c r="D962" s="212"/>
      <c r="E962" s="213" t="s">
        <v>72</v>
      </c>
      <c r="F962" s="17">
        <f>8*9*3</f>
        <v>216</v>
      </c>
      <c r="G962" s="127">
        <v>0.1</v>
      </c>
      <c r="H962" s="33">
        <f>F962*(1+G962)</f>
        <v>237.60000000000002</v>
      </c>
      <c r="I962" s="34" t="s">
        <v>18</v>
      </c>
      <c r="J962" s="204">
        <f>J$143</f>
        <v>0</v>
      </c>
      <c r="K962" s="205">
        <f>J962*H962</f>
        <v>0</v>
      </c>
      <c r="L962" s="206"/>
    </row>
    <row r="963" spans="1:12" s="187" customFormat="1" x14ac:dyDescent="0.2">
      <c r="A963" s="111" t="str">
        <f>IF(F963&lt;&gt;"",1+MAX($A$7:A962),"")</f>
        <v/>
      </c>
      <c r="B963" s="45"/>
      <c r="C963" s="45"/>
      <c r="D963" s="214"/>
      <c r="E963" s="215" t="s">
        <v>48</v>
      </c>
      <c r="F963" s="216"/>
      <c r="G963" s="217"/>
      <c r="H963" s="33">
        <f>ROUNDUP((H962)/32,0)</f>
        <v>8</v>
      </c>
      <c r="I963" s="34" t="s">
        <v>49</v>
      </c>
      <c r="J963" s="204"/>
      <c r="K963" s="205"/>
      <c r="L963" s="206"/>
    </row>
    <row r="964" spans="1:12" s="187" customFormat="1" x14ac:dyDescent="0.2">
      <c r="A964" s="111" t="str">
        <f>IF(F964&lt;&gt;"",1+MAX($A$7:A963),"")</f>
        <v/>
      </c>
      <c r="B964" s="45"/>
      <c r="C964" s="45"/>
      <c r="D964" s="214"/>
      <c r="E964" s="215" t="s">
        <v>50</v>
      </c>
      <c r="F964" s="216"/>
      <c r="G964" s="217"/>
      <c r="H964" s="33">
        <f>ROUNDUP(H963*24/500,0)</f>
        <v>1</v>
      </c>
      <c r="I964" s="34" t="s">
        <v>51</v>
      </c>
      <c r="J964" s="204"/>
      <c r="K964" s="205"/>
      <c r="L964" s="206"/>
    </row>
    <row r="965" spans="1:12" s="187" customFormat="1" x14ac:dyDescent="0.2">
      <c r="A965" s="111" t="str">
        <f>IF(F965&lt;&gt;"",1+MAX($A$7:A964),"")</f>
        <v/>
      </c>
      <c r="B965" s="45"/>
      <c r="C965" s="45"/>
      <c r="D965" s="214"/>
      <c r="E965" s="215" t="s">
        <v>52</v>
      </c>
      <c r="F965" s="216"/>
      <c r="G965" s="217"/>
      <c r="H965" s="218">
        <f>ROUNDUP((H962)/200,0)</f>
        <v>2</v>
      </c>
      <c r="I965" s="34" t="s">
        <v>53</v>
      </c>
      <c r="J965" s="204"/>
      <c r="K965" s="205"/>
      <c r="L965" s="206"/>
    </row>
    <row r="966" spans="1:12" s="187" customFormat="1" x14ac:dyDescent="0.2">
      <c r="A966" s="111" t="str">
        <f>IF(F966&lt;&gt;"",1+MAX($A$7:A965),"")</f>
        <v/>
      </c>
      <c r="B966" s="45"/>
      <c r="C966" s="45"/>
      <c r="D966" s="214"/>
      <c r="E966" s="215" t="s">
        <v>54</v>
      </c>
      <c r="F966" s="216"/>
      <c r="G966" s="217"/>
      <c r="H966" s="218">
        <f>ROUNDUP((H962)*5.25/1000,0)</f>
        <v>2</v>
      </c>
      <c r="I966" s="34" t="s">
        <v>55</v>
      </c>
      <c r="J966" s="204"/>
      <c r="K966" s="205"/>
      <c r="L966" s="206"/>
    </row>
    <row r="967" spans="1:12" s="187" customFormat="1" x14ac:dyDescent="0.2">
      <c r="A967" s="111">
        <f>IF(F967&lt;&gt;"",1+MAX($A$7:A966),"")</f>
        <v>341</v>
      </c>
      <c r="B967" s="2" t="s">
        <v>112</v>
      </c>
      <c r="C967" s="2" t="s">
        <v>111</v>
      </c>
      <c r="D967" s="212"/>
      <c r="E967" s="213" t="s">
        <v>108</v>
      </c>
      <c r="F967" s="17">
        <f>8*9</f>
        <v>72</v>
      </c>
      <c r="G967" s="127">
        <v>0.1</v>
      </c>
      <c r="H967" s="33">
        <f>F967*(1+G967)</f>
        <v>79.2</v>
      </c>
      <c r="I967" s="34" t="s">
        <v>18</v>
      </c>
      <c r="J967" s="204">
        <f>J$160</f>
        <v>0</v>
      </c>
      <c r="K967" s="205">
        <f>J967*H967</f>
        <v>0</v>
      </c>
      <c r="L967" s="206"/>
    </row>
    <row r="968" spans="1:12" s="187" customFormat="1" x14ac:dyDescent="0.2">
      <c r="A968" s="111" t="str">
        <f>IF(F968&lt;&gt;"",1+MAX($A$7:A967),"")</f>
        <v/>
      </c>
      <c r="B968" s="45"/>
      <c r="C968" s="45"/>
      <c r="D968" s="214"/>
      <c r="E968" s="215" t="s">
        <v>48</v>
      </c>
      <c r="F968" s="216"/>
      <c r="G968" s="217"/>
      <c r="H968" s="33">
        <f>ROUNDUP((H967)/32,0)</f>
        <v>3</v>
      </c>
      <c r="I968" s="34" t="s">
        <v>49</v>
      </c>
      <c r="J968" s="204"/>
      <c r="K968" s="205"/>
      <c r="L968" s="206"/>
    </row>
    <row r="969" spans="1:12" s="187" customFormat="1" x14ac:dyDescent="0.2">
      <c r="A969" s="111" t="str">
        <f>IF(F969&lt;&gt;"",1+MAX($A$7:A968),"")</f>
        <v/>
      </c>
      <c r="B969" s="45"/>
      <c r="C969" s="45"/>
      <c r="D969" s="214"/>
      <c r="E969" s="215" t="s">
        <v>50</v>
      </c>
      <c r="F969" s="216"/>
      <c r="G969" s="217"/>
      <c r="H969" s="33">
        <f>ROUNDUP(H968*24/500,0)</f>
        <v>1</v>
      </c>
      <c r="I969" s="34" t="s">
        <v>51</v>
      </c>
      <c r="J969" s="204"/>
      <c r="K969" s="205"/>
      <c r="L969" s="206"/>
    </row>
    <row r="970" spans="1:12" s="187" customFormat="1" x14ac:dyDescent="0.2">
      <c r="A970" s="111" t="str">
        <f>IF(F970&lt;&gt;"",1+MAX($A$7:A969),"")</f>
        <v/>
      </c>
      <c r="B970" s="45"/>
      <c r="C970" s="45"/>
      <c r="D970" s="214"/>
      <c r="E970" s="215" t="s">
        <v>52</v>
      </c>
      <c r="F970" s="216"/>
      <c r="G970" s="217"/>
      <c r="H970" s="218">
        <f>ROUNDUP((H967)/200,0)</f>
        <v>1</v>
      </c>
      <c r="I970" s="34" t="s">
        <v>53</v>
      </c>
      <c r="J970" s="204"/>
      <c r="K970" s="205"/>
      <c r="L970" s="206"/>
    </row>
    <row r="971" spans="1:12" s="187" customFormat="1" x14ac:dyDescent="0.2">
      <c r="A971" s="111" t="str">
        <f>IF(F971&lt;&gt;"",1+MAX($A$7:A970),"")</f>
        <v/>
      </c>
      <c r="B971" s="45"/>
      <c r="C971" s="45"/>
      <c r="D971" s="214"/>
      <c r="E971" s="215" t="s">
        <v>54</v>
      </c>
      <c r="F971" s="216"/>
      <c r="G971" s="217"/>
      <c r="H971" s="218">
        <f>ROUNDUP((H967)*5.25/1000,0)</f>
        <v>1</v>
      </c>
      <c r="I971" s="34" t="s">
        <v>55</v>
      </c>
      <c r="J971" s="204"/>
      <c r="K971" s="205"/>
      <c r="L971" s="206"/>
    </row>
    <row r="972" spans="1:12" s="187" customFormat="1" x14ac:dyDescent="0.2">
      <c r="A972" s="111">
        <f>IF(F972&lt;&gt;"",1+MAX($A$7:A971),"")</f>
        <v>342</v>
      </c>
      <c r="B972" s="2" t="s">
        <v>112</v>
      </c>
      <c r="C972" s="2" t="s">
        <v>111</v>
      </c>
      <c r="D972" s="214"/>
      <c r="E972" s="213" t="s">
        <v>109</v>
      </c>
      <c r="F972" s="17">
        <f>8*4</f>
        <v>32</v>
      </c>
      <c r="G972" s="127">
        <v>0.1</v>
      </c>
      <c r="H972" s="33">
        <f>F972*(1+G972)</f>
        <v>35.200000000000003</v>
      </c>
      <c r="I972" s="34" t="s">
        <v>15</v>
      </c>
      <c r="J972" s="204">
        <f>J$148</f>
        <v>0</v>
      </c>
      <c r="K972" s="205">
        <f>J972*H972</f>
        <v>0</v>
      </c>
      <c r="L972" s="206"/>
    </row>
    <row r="973" spans="1:12" s="187" customFormat="1" x14ac:dyDescent="0.2">
      <c r="A973" s="111">
        <f>IF(F973&lt;&gt;"",1+MAX($A$7:A972),"")</f>
        <v>343</v>
      </c>
      <c r="B973" s="2" t="s">
        <v>112</v>
      </c>
      <c r="C973" s="2" t="s">
        <v>111</v>
      </c>
      <c r="D973" s="212"/>
      <c r="E973" s="213" t="s">
        <v>119</v>
      </c>
      <c r="F973" s="17">
        <f>8*9</f>
        <v>72</v>
      </c>
      <c r="G973" s="127">
        <v>0.1</v>
      </c>
      <c r="H973" s="33">
        <f>F973*(1+G973)</f>
        <v>79.2</v>
      </c>
      <c r="I973" s="34" t="s">
        <v>18</v>
      </c>
      <c r="J973" s="204">
        <f>J$226</f>
        <v>0</v>
      </c>
      <c r="K973" s="205">
        <f>J973*H973</f>
        <v>0</v>
      </c>
      <c r="L973" s="206"/>
    </row>
    <row r="974" spans="1:12" s="187" customFormat="1" x14ac:dyDescent="0.2">
      <c r="A974" s="111">
        <f>IF(F974&lt;&gt;"",1+MAX($A$7:A973),"")</f>
        <v>344</v>
      </c>
      <c r="B974" s="2" t="s">
        <v>112</v>
      </c>
      <c r="C974" s="2" t="s">
        <v>111</v>
      </c>
      <c r="D974" s="212"/>
      <c r="E974" s="213" t="s">
        <v>123</v>
      </c>
      <c r="F974" s="17">
        <f>8*9</f>
        <v>72</v>
      </c>
      <c r="G974" s="127">
        <v>0.1</v>
      </c>
      <c r="H974" s="33">
        <f>F974*(1+G974)</f>
        <v>79.2</v>
      </c>
      <c r="I974" s="34" t="s">
        <v>18</v>
      </c>
      <c r="J974" s="204">
        <f>J$202</f>
        <v>0</v>
      </c>
      <c r="K974" s="205">
        <f>J974*H974</f>
        <v>0</v>
      </c>
      <c r="L974" s="206"/>
    </row>
    <row r="975" spans="1:12" s="187" customFormat="1" x14ac:dyDescent="0.2">
      <c r="A975" s="111" t="str">
        <f>IF(F975&lt;&gt;"",1+MAX($A$7:A974),"")</f>
        <v/>
      </c>
      <c r="B975" s="2"/>
      <c r="C975" s="2"/>
      <c r="D975" s="214"/>
      <c r="E975" s="213"/>
      <c r="F975" s="17"/>
      <c r="G975" s="127"/>
      <c r="H975" s="33"/>
      <c r="I975" s="34"/>
      <c r="J975" s="204"/>
      <c r="K975" s="205"/>
      <c r="L975" s="206"/>
    </row>
    <row r="976" spans="1:12" s="187" customFormat="1" x14ac:dyDescent="0.2">
      <c r="A976" s="111" t="str">
        <f>IF(F976&lt;&gt;"",1+MAX($A$7:A975),"")</f>
        <v/>
      </c>
      <c r="B976" s="207"/>
      <c r="C976" s="207"/>
      <c r="D976" s="201"/>
      <c r="E976" s="208" t="s">
        <v>139</v>
      </c>
      <c r="F976" s="203"/>
      <c r="G976" s="25"/>
      <c r="H976" s="209"/>
      <c r="I976" s="5"/>
      <c r="J976" s="210"/>
      <c r="K976" s="211"/>
      <c r="L976" s="206"/>
    </row>
    <row r="977" spans="1:12" s="187" customFormat="1" x14ac:dyDescent="0.2">
      <c r="A977" s="111">
        <f>IF(F977&lt;&gt;"",1+MAX($A$7:A976),"")</f>
        <v>345</v>
      </c>
      <c r="B977" s="2" t="s">
        <v>112</v>
      </c>
      <c r="C977" s="2" t="s">
        <v>111</v>
      </c>
      <c r="D977" s="212"/>
      <c r="E977" s="213" t="s">
        <v>107</v>
      </c>
      <c r="F977" s="17">
        <f>28.4*9*2</f>
        <v>511.2</v>
      </c>
      <c r="G977" s="127">
        <v>0.1</v>
      </c>
      <c r="H977" s="33">
        <f>F977*(1+G977)</f>
        <v>562.32000000000005</v>
      </c>
      <c r="I977" s="34" t="s">
        <v>18</v>
      </c>
      <c r="J977" s="204">
        <f>J$143</f>
        <v>0</v>
      </c>
      <c r="K977" s="205">
        <f>J977*H977</f>
        <v>0</v>
      </c>
      <c r="L977" s="206"/>
    </row>
    <row r="978" spans="1:12" s="187" customFormat="1" x14ac:dyDescent="0.2">
      <c r="A978" s="111" t="str">
        <f>IF(F978&lt;&gt;"",1+MAX($A$7:A977),"")</f>
        <v/>
      </c>
      <c r="B978" s="45"/>
      <c r="C978" s="45"/>
      <c r="D978" s="214"/>
      <c r="E978" s="215" t="s">
        <v>48</v>
      </c>
      <c r="F978" s="216"/>
      <c r="G978" s="217"/>
      <c r="H978" s="33">
        <f>ROUNDUP((H977)/32,0)</f>
        <v>18</v>
      </c>
      <c r="I978" s="34" t="s">
        <v>49</v>
      </c>
      <c r="J978" s="204"/>
      <c r="K978" s="205"/>
      <c r="L978" s="206"/>
    </row>
    <row r="979" spans="1:12" s="187" customFormat="1" x14ac:dyDescent="0.2">
      <c r="A979" s="111" t="str">
        <f>IF(F979&lt;&gt;"",1+MAX($A$7:A978),"")</f>
        <v/>
      </c>
      <c r="B979" s="45"/>
      <c r="C979" s="45"/>
      <c r="D979" s="214"/>
      <c r="E979" s="215" t="s">
        <v>50</v>
      </c>
      <c r="F979" s="216"/>
      <c r="G979" s="217"/>
      <c r="H979" s="33">
        <f>ROUNDUP(H978*24/500,0)</f>
        <v>1</v>
      </c>
      <c r="I979" s="34" t="s">
        <v>51</v>
      </c>
      <c r="J979" s="204"/>
      <c r="K979" s="205"/>
      <c r="L979" s="206"/>
    </row>
    <row r="980" spans="1:12" s="187" customFormat="1" x14ac:dyDescent="0.2">
      <c r="A980" s="111" t="str">
        <f>IF(F980&lt;&gt;"",1+MAX($A$7:A979),"")</f>
        <v/>
      </c>
      <c r="B980" s="45"/>
      <c r="C980" s="45"/>
      <c r="D980" s="214"/>
      <c r="E980" s="215" t="s">
        <v>52</v>
      </c>
      <c r="F980" s="216"/>
      <c r="G980" s="217"/>
      <c r="H980" s="218">
        <f>ROUNDUP((H977)/200,0)</f>
        <v>3</v>
      </c>
      <c r="I980" s="34" t="s">
        <v>53</v>
      </c>
      <c r="J980" s="204"/>
      <c r="K980" s="205"/>
      <c r="L980" s="206"/>
    </row>
    <row r="981" spans="1:12" s="187" customFormat="1" x14ac:dyDescent="0.2">
      <c r="A981" s="111" t="str">
        <f>IF(F981&lt;&gt;"",1+MAX($A$7:A980),"")</f>
        <v/>
      </c>
      <c r="B981" s="45"/>
      <c r="C981" s="45"/>
      <c r="D981" s="214"/>
      <c r="E981" s="215" t="s">
        <v>54</v>
      </c>
      <c r="F981" s="216"/>
      <c r="G981" s="217"/>
      <c r="H981" s="218">
        <f>ROUNDUP((H977)*5.25/1000,0)</f>
        <v>3</v>
      </c>
      <c r="I981" s="34" t="s">
        <v>55</v>
      </c>
      <c r="J981" s="204"/>
      <c r="K981" s="205"/>
      <c r="L981" s="206"/>
    </row>
    <row r="982" spans="1:12" s="187" customFormat="1" x14ac:dyDescent="0.2">
      <c r="A982" s="111">
        <f>IF(F982&lt;&gt;"",1+MAX($A$7:A981),"")</f>
        <v>346</v>
      </c>
      <c r="B982" s="2" t="s">
        <v>112</v>
      </c>
      <c r="C982" s="2" t="s">
        <v>111</v>
      </c>
      <c r="D982" s="214"/>
      <c r="E982" s="213" t="s">
        <v>109</v>
      </c>
      <c r="F982" s="17">
        <f>28.4*4</f>
        <v>113.6</v>
      </c>
      <c r="G982" s="127">
        <v>0.1</v>
      </c>
      <c r="H982" s="33">
        <f>F982*(1+G982)</f>
        <v>124.96000000000001</v>
      </c>
      <c r="I982" s="34" t="s">
        <v>15</v>
      </c>
      <c r="J982" s="204">
        <f>J$148</f>
        <v>0</v>
      </c>
      <c r="K982" s="205">
        <f>J982*H982</f>
        <v>0</v>
      </c>
      <c r="L982" s="206"/>
    </row>
    <row r="983" spans="1:12" s="187" customFormat="1" x14ac:dyDescent="0.2">
      <c r="A983" s="111">
        <f>IF(F983&lt;&gt;"",1+MAX($A$7:A982),"")</f>
        <v>347</v>
      </c>
      <c r="B983" s="2" t="s">
        <v>112</v>
      </c>
      <c r="C983" s="2" t="s">
        <v>111</v>
      </c>
      <c r="D983" s="212"/>
      <c r="E983" s="213" t="s">
        <v>484</v>
      </c>
      <c r="F983" s="17">
        <f>28.4*9</f>
        <v>255.6</v>
      </c>
      <c r="G983" s="127">
        <v>0.1</v>
      </c>
      <c r="H983" s="33">
        <f>F983*(1+G983)</f>
        <v>281.16000000000003</v>
      </c>
      <c r="I983" s="34" t="s">
        <v>18</v>
      </c>
      <c r="J983" s="204">
        <f>J$276</f>
        <v>0</v>
      </c>
      <c r="K983" s="205">
        <f>J983*H983</f>
        <v>0</v>
      </c>
      <c r="L983" s="206"/>
    </row>
    <row r="984" spans="1:12" s="187" customFormat="1" x14ac:dyDescent="0.2">
      <c r="A984" s="111">
        <f>IF(F984&lt;&gt;"",1+MAX($A$7:A983),"")</f>
        <v>348</v>
      </c>
      <c r="B984" s="2" t="s">
        <v>112</v>
      </c>
      <c r="C984" s="2" t="s">
        <v>111</v>
      </c>
      <c r="D984" s="212"/>
      <c r="E984" s="213" t="s">
        <v>123</v>
      </c>
      <c r="F984" s="17">
        <f>28.4*9</f>
        <v>255.6</v>
      </c>
      <c r="G984" s="127">
        <v>0.1</v>
      </c>
      <c r="H984" s="33">
        <f>F984*(1+G984)</f>
        <v>281.16000000000003</v>
      </c>
      <c r="I984" s="34" t="s">
        <v>18</v>
      </c>
      <c r="J984" s="204">
        <f>J$202</f>
        <v>0</v>
      </c>
      <c r="K984" s="205">
        <f>J984*H984</f>
        <v>0</v>
      </c>
      <c r="L984" s="206"/>
    </row>
    <row r="985" spans="1:12" s="187" customFormat="1" x14ac:dyDescent="0.2">
      <c r="A985" s="111" t="str">
        <f>IF(F985&lt;&gt;"",1+MAX($A$7:A984),"")</f>
        <v/>
      </c>
      <c r="B985" s="2"/>
      <c r="C985" s="2"/>
      <c r="D985" s="214"/>
      <c r="E985" s="213"/>
      <c r="F985" s="17"/>
      <c r="G985" s="127"/>
      <c r="H985" s="33"/>
      <c r="I985" s="34"/>
      <c r="J985" s="204"/>
      <c r="K985" s="205"/>
      <c r="L985" s="206"/>
    </row>
    <row r="986" spans="1:12" s="187" customFormat="1" x14ac:dyDescent="0.2">
      <c r="A986" s="111" t="str">
        <f>IF(F986&lt;&gt;"",1+MAX($A$7:A985),"")</f>
        <v/>
      </c>
      <c r="B986" s="207"/>
      <c r="C986" s="207"/>
      <c r="D986" s="201"/>
      <c r="E986" s="208" t="s">
        <v>142</v>
      </c>
      <c r="F986" s="203"/>
      <c r="G986" s="25"/>
      <c r="H986" s="209"/>
      <c r="I986" s="5"/>
      <c r="J986" s="210"/>
      <c r="K986" s="211"/>
      <c r="L986" s="206"/>
    </row>
    <row r="987" spans="1:12" s="187" customFormat="1" x14ac:dyDescent="0.2">
      <c r="A987" s="111">
        <f>IF(F987&lt;&gt;"",1+MAX($A$7:A986),"")</f>
        <v>349</v>
      </c>
      <c r="B987" s="2" t="s">
        <v>112</v>
      </c>
      <c r="C987" s="2" t="s">
        <v>111</v>
      </c>
      <c r="D987" s="212"/>
      <c r="E987" s="213" t="s">
        <v>107</v>
      </c>
      <c r="F987" s="17">
        <f>10.1*9*2</f>
        <v>181.79999999999998</v>
      </c>
      <c r="G987" s="127">
        <v>0.1</v>
      </c>
      <c r="H987" s="33">
        <f>F987*(1+G987)</f>
        <v>199.98</v>
      </c>
      <c r="I987" s="34" t="s">
        <v>18</v>
      </c>
      <c r="J987" s="204">
        <f>J$143</f>
        <v>0</v>
      </c>
      <c r="K987" s="205">
        <f>J987*H987</f>
        <v>0</v>
      </c>
      <c r="L987" s="206"/>
    </row>
    <row r="988" spans="1:12" s="187" customFormat="1" x14ac:dyDescent="0.2">
      <c r="A988" s="111" t="str">
        <f>IF(F988&lt;&gt;"",1+MAX($A$7:A987),"")</f>
        <v/>
      </c>
      <c r="B988" s="45"/>
      <c r="C988" s="45"/>
      <c r="D988" s="214"/>
      <c r="E988" s="215" t="s">
        <v>48</v>
      </c>
      <c r="F988" s="216"/>
      <c r="G988" s="217"/>
      <c r="H988" s="33">
        <f>ROUNDUP((H987)/32,0)</f>
        <v>7</v>
      </c>
      <c r="I988" s="34" t="s">
        <v>49</v>
      </c>
      <c r="J988" s="204"/>
      <c r="K988" s="205"/>
      <c r="L988" s="206"/>
    </row>
    <row r="989" spans="1:12" s="187" customFormat="1" x14ac:dyDescent="0.2">
      <c r="A989" s="111" t="str">
        <f>IF(F989&lt;&gt;"",1+MAX($A$7:A988),"")</f>
        <v/>
      </c>
      <c r="B989" s="45"/>
      <c r="C989" s="45"/>
      <c r="D989" s="214"/>
      <c r="E989" s="215" t="s">
        <v>50</v>
      </c>
      <c r="F989" s="216"/>
      <c r="G989" s="217"/>
      <c r="H989" s="33">
        <f>ROUNDUP(H988*24/500,0)</f>
        <v>1</v>
      </c>
      <c r="I989" s="34" t="s">
        <v>51</v>
      </c>
      <c r="J989" s="204"/>
      <c r="K989" s="205"/>
      <c r="L989" s="206"/>
    </row>
    <row r="990" spans="1:12" s="187" customFormat="1" x14ac:dyDescent="0.2">
      <c r="A990" s="111" t="str">
        <f>IF(F990&lt;&gt;"",1+MAX($A$7:A989),"")</f>
        <v/>
      </c>
      <c r="B990" s="45"/>
      <c r="C990" s="45"/>
      <c r="D990" s="214"/>
      <c r="E990" s="215" t="s">
        <v>52</v>
      </c>
      <c r="F990" s="216"/>
      <c r="G990" s="217"/>
      <c r="H990" s="218">
        <f>ROUNDUP((H987)/200,0)</f>
        <v>1</v>
      </c>
      <c r="I990" s="34" t="s">
        <v>53</v>
      </c>
      <c r="J990" s="204"/>
      <c r="K990" s="205"/>
      <c r="L990" s="206"/>
    </row>
    <row r="991" spans="1:12" s="187" customFormat="1" x14ac:dyDescent="0.2">
      <c r="A991" s="111" t="str">
        <f>IF(F991&lt;&gt;"",1+MAX($A$7:A990),"")</f>
        <v/>
      </c>
      <c r="B991" s="45"/>
      <c r="C991" s="45"/>
      <c r="D991" s="214"/>
      <c r="E991" s="215" t="s">
        <v>54</v>
      </c>
      <c r="F991" s="216"/>
      <c r="G991" s="217"/>
      <c r="H991" s="218">
        <f>ROUNDUP((H987)*5.25/1000,0)</f>
        <v>2</v>
      </c>
      <c r="I991" s="34" t="s">
        <v>55</v>
      </c>
      <c r="J991" s="204"/>
      <c r="K991" s="205"/>
      <c r="L991" s="206"/>
    </row>
    <row r="992" spans="1:12" s="187" customFormat="1" x14ac:dyDescent="0.2">
      <c r="A992" s="111">
        <f>IF(F992&lt;&gt;"",1+MAX($A$7:A991),"")</f>
        <v>350</v>
      </c>
      <c r="B992" s="2" t="s">
        <v>112</v>
      </c>
      <c r="C992" s="2" t="s">
        <v>111</v>
      </c>
      <c r="D992" s="214"/>
      <c r="E992" s="213" t="s">
        <v>109</v>
      </c>
      <c r="F992" s="17">
        <f>10.1*4</f>
        <v>40.4</v>
      </c>
      <c r="G992" s="127">
        <v>0.1</v>
      </c>
      <c r="H992" s="33">
        <f>F992*(1+G992)</f>
        <v>44.440000000000005</v>
      </c>
      <c r="I992" s="34" t="s">
        <v>15</v>
      </c>
      <c r="J992" s="204">
        <f>J$148</f>
        <v>0</v>
      </c>
      <c r="K992" s="205">
        <f>J992*H992</f>
        <v>0</v>
      </c>
      <c r="L992" s="206"/>
    </row>
    <row r="993" spans="1:12" s="187" customFormat="1" x14ac:dyDescent="0.2">
      <c r="A993" s="111">
        <f>IF(F993&lt;&gt;"",1+MAX($A$7:A992),"")</f>
        <v>351</v>
      </c>
      <c r="B993" s="2" t="s">
        <v>112</v>
      </c>
      <c r="C993" s="2" t="s">
        <v>111</v>
      </c>
      <c r="D993" s="212"/>
      <c r="E993" s="213" t="s">
        <v>484</v>
      </c>
      <c r="F993" s="17">
        <f>10.1*9</f>
        <v>90.899999999999991</v>
      </c>
      <c r="G993" s="127">
        <v>0.1</v>
      </c>
      <c r="H993" s="33">
        <f>F993*(1+G993)</f>
        <v>99.99</v>
      </c>
      <c r="I993" s="34" t="s">
        <v>18</v>
      </c>
      <c r="J993" s="204">
        <f>J$276</f>
        <v>0</v>
      </c>
      <c r="K993" s="205">
        <f>J993*H993</f>
        <v>0</v>
      </c>
      <c r="L993" s="206"/>
    </row>
    <row r="994" spans="1:12" s="187" customFormat="1" x14ac:dyDescent="0.2">
      <c r="A994" s="111">
        <f>IF(F994&lt;&gt;"",1+MAX($A$7:A993),"")</f>
        <v>352</v>
      </c>
      <c r="B994" s="2" t="s">
        <v>112</v>
      </c>
      <c r="C994" s="2" t="s">
        <v>111</v>
      </c>
      <c r="D994" s="212"/>
      <c r="E994" s="213" t="s">
        <v>123</v>
      </c>
      <c r="F994" s="17">
        <f>10.1*9</f>
        <v>90.899999999999991</v>
      </c>
      <c r="G994" s="127">
        <v>0.1</v>
      </c>
      <c r="H994" s="33">
        <f>F994*(1+G994)</f>
        <v>99.99</v>
      </c>
      <c r="I994" s="34" t="s">
        <v>18</v>
      </c>
      <c r="J994" s="204">
        <f>J$202</f>
        <v>0</v>
      </c>
      <c r="K994" s="205">
        <f>J994*H994</f>
        <v>0</v>
      </c>
      <c r="L994" s="206"/>
    </row>
    <row r="995" spans="1:12" s="187" customFormat="1" x14ac:dyDescent="0.2">
      <c r="A995" s="111" t="str">
        <f>IF(F995&lt;&gt;"",1+MAX($A$7:A994),"")</f>
        <v/>
      </c>
      <c r="B995" s="2"/>
      <c r="C995" s="2"/>
      <c r="D995" s="212"/>
      <c r="E995" s="213"/>
      <c r="F995" s="17"/>
      <c r="G995" s="127"/>
      <c r="H995" s="33"/>
      <c r="I995" s="34"/>
      <c r="J995" s="204"/>
      <c r="K995" s="205"/>
      <c r="L995" s="206"/>
    </row>
    <row r="996" spans="1:12" s="187" customFormat="1" x14ac:dyDescent="0.2">
      <c r="A996" s="111" t="str">
        <f>IF(F996&lt;&gt;"",1+MAX($A$7:A995),"")</f>
        <v/>
      </c>
      <c r="B996" s="207"/>
      <c r="C996" s="207"/>
      <c r="D996" s="201"/>
      <c r="E996" s="208" t="s">
        <v>151</v>
      </c>
      <c r="F996" s="203"/>
      <c r="G996" s="25"/>
      <c r="H996" s="209"/>
      <c r="I996" s="5"/>
      <c r="J996" s="210"/>
      <c r="K996" s="211"/>
      <c r="L996" s="206"/>
    </row>
    <row r="997" spans="1:12" s="187" customFormat="1" ht="31.5" x14ac:dyDescent="0.2">
      <c r="A997" s="111">
        <f>IF(F997&lt;&gt;"",1+MAX($A$7:A996),"")</f>
        <v>353</v>
      </c>
      <c r="B997" s="2" t="s">
        <v>112</v>
      </c>
      <c r="C997" s="2" t="s">
        <v>111</v>
      </c>
      <c r="D997" s="212"/>
      <c r="E997" s="213" t="s">
        <v>72</v>
      </c>
      <c r="F997" s="17">
        <f>3.3*9*2*2</f>
        <v>118.8</v>
      </c>
      <c r="G997" s="127">
        <v>0.1</v>
      </c>
      <c r="H997" s="33">
        <f>F997*(1+G997)</f>
        <v>130.68</v>
      </c>
      <c r="I997" s="34" t="s">
        <v>18</v>
      </c>
      <c r="J997" s="204">
        <f>J$143</f>
        <v>0</v>
      </c>
      <c r="K997" s="205">
        <f>J997*H997</f>
        <v>0</v>
      </c>
      <c r="L997" s="206"/>
    </row>
    <row r="998" spans="1:12" s="187" customFormat="1" x14ac:dyDescent="0.2">
      <c r="A998" s="111" t="str">
        <f>IF(F998&lt;&gt;"",1+MAX($A$7:A997),"")</f>
        <v/>
      </c>
      <c r="B998" s="45"/>
      <c r="C998" s="45"/>
      <c r="D998" s="214"/>
      <c r="E998" s="215" t="s">
        <v>48</v>
      </c>
      <c r="F998" s="216"/>
      <c r="G998" s="217"/>
      <c r="H998" s="33">
        <f>ROUNDUP((H997)/32,0)</f>
        <v>5</v>
      </c>
      <c r="I998" s="34" t="s">
        <v>49</v>
      </c>
      <c r="J998" s="204"/>
      <c r="K998" s="205"/>
      <c r="L998" s="206"/>
    </row>
    <row r="999" spans="1:12" s="187" customFormat="1" x14ac:dyDescent="0.2">
      <c r="A999" s="111" t="str">
        <f>IF(F999&lt;&gt;"",1+MAX($A$7:A998),"")</f>
        <v/>
      </c>
      <c r="B999" s="45"/>
      <c r="C999" s="45"/>
      <c r="D999" s="214"/>
      <c r="E999" s="215" t="s">
        <v>50</v>
      </c>
      <c r="F999" s="216"/>
      <c r="G999" s="217"/>
      <c r="H999" s="33">
        <f>ROUNDUP(H998*24/500,0)</f>
        <v>1</v>
      </c>
      <c r="I999" s="34" t="s">
        <v>51</v>
      </c>
      <c r="J999" s="204"/>
      <c r="K999" s="205"/>
      <c r="L999" s="206"/>
    </row>
    <row r="1000" spans="1:12" s="187" customFormat="1" x14ac:dyDescent="0.2">
      <c r="A1000" s="111" t="str">
        <f>IF(F1000&lt;&gt;"",1+MAX($A$7:A999),"")</f>
        <v/>
      </c>
      <c r="B1000" s="45"/>
      <c r="C1000" s="45"/>
      <c r="D1000" s="214"/>
      <c r="E1000" s="215" t="s">
        <v>52</v>
      </c>
      <c r="F1000" s="216"/>
      <c r="G1000" s="217"/>
      <c r="H1000" s="218">
        <f>ROUNDUP((H997)/200,0)</f>
        <v>1</v>
      </c>
      <c r="I1000" s="34" t="s">
        <v>53</v>
      </c>
      <c r="J1000" s="204"/>
      <c r="K1000" s="205"/>
      <c r="L1000" s="206"/>
    </row>
    <row r="1001" spans="1:12" s="187" customFormat="1" x14ac:dyDescent="0.2">
      <c r="A1001" s="111" t="str">
        <f>IF(F1001&lt;&gt;"",1+MAX($A$7:A1000),"")</f>
        <v/>
      </c>
      <c r="B1001" s="45"/>
      <c r="C1001" s="45"/>
      <c r="D1001" s="214"/>
      <c r="E1001" s="215" t="s">
        <v>54</v>
      </c>
      <c r="F1001" s="216"/>
      <c r="G1001" s="217"/>
      <c r="H1001" s="218">
        <f>ROUNDUP((H997)*5.25/1000,0)</f>
        <v>1</v>
      </c>
      <c r="I1001" s="34" t="s">
        <v>55</v>
      </c>
      <c r="J1001" s="204"/>
      <c r="K1001" s="205"/>
      <c r="L1001" s="206"/>
    </row>
    <row r="1002" spans="1:12" s="187" customFormat="1" x14ac:dyDescent="0.2">
      <c r="A1002" s="111">
        <f>IF(F1002&lt;&gt;"",1+MAX($A$7:A1001),"")</f>
        <v>354</v>
      </c>
      <c r="B1002" s="2" t="s">
        <v>112</v>
      </c>
      <c r="C1002" s="2" t="s">
        <v>111</v>
      </c>
      <c r="D1002" s="214"/>
      <c r="E1002" s="213" t="s">
        <v>109</v>
      </c>
      <c r="F1002" s="17">
        <f>3.3*4</f>
        <v>13.2</v>
      </c>
      <c r="G1002" s="127">
        <v>0.1</v>
      </c>
      <c r="H1002" s="33">
        <f>F1002*(1+G1002)</f>
        <v>14.52</v>
      </c>
      <c r="I1002" s="34" t="s">
        <v>15</v>
      </c>
      <c r="J1002" s="204">
        <f>J$148</f>
        <v>0</v>
      </c>
      <c r="K1002" s="205">
        <f>J1002*H1002</f>
        <v>0</v>
      </c>
      <c r="L1002" s="206"/>
    </row>
    <row r="1003" spans="1:12" s="187" customFormat="1" x14ac:dyDescent="0.2">
      <c r="A1003" s="111">
        <f>IF(F1003&lt;&gt;"",1+MAX($A$7:A1002),"")</f>
        <v>355</v>
      </c>
      <c r="B1003" s="2" t="s">
        <v>112</v>
      </c>
      <c r="C1003" s="2" t="s">
        <v>111</v>
      </c>
      <c r="D1003" s="212"/>
      <c r="E1003" s="213" t="s">
        <v>133</v>
      </c>
      <c r="F1003" s="17">
        <f>3.3*9</f>
        <v>29.7</v>
      </c>
      <c r="G1003" s="127">
        <v>0.1</v>
      </c>
      <c r="H1003" s="33">
        <f>F1003*(1+G1003)</f>
        <v>32.67</v>
      </c>
      <c r="I1003" s="34" t="s">
        <v>18</v>
      </c>
      <c r="J1003" s="204">
        <f>J$149</f>
        <v>0</v>
      </c>
      <c r="K1003" s="205">
        <f>J1003*H1003</f>
        <v>0</v>
      </c>
      <c r="L1003" s="206"/>
    </row>
    <row r="1004" spans="1:12" s="187" customFormat="1" x14ac:dyDescent="0.2">
      <c r="A1004" s="111" t="str">
        <f>IF(F1004&lt;&gt;"",1+MAX($A$7:A1003),"")</f>
        <v/>
      </c>
      <c r="B1004" s="2"/>
      <c r="C1004" s="2"/>
      <c r="D1004" s="214"/>
      <c r="E1004" s="243" t="s">
        <v>56</v>
      </c>
      <c r="F1004" s="17"/>
      <c r="G1004" s="127"/>
      <c r="H1004" s="33">
        <f>(3.3/1.167+1)</f>
        <v>3.8277634961439588</v>
      </c>
      <c r="I1004" s="34" t="s">
        <v>20</v>
      </c>
      <c r="J1004" s="204"/>
      <c r="K1004" s="205"/>
      <c r="L1004" s="206"/>
    </row>
    <row r="1005" spans="1:12" s="187" customFormat="1" x14ac:dyDescent="0.2">
      <c r="A1005" s="111">
        <f>IF(F1005&lt;&gt;"",1+MAX($A$7:A1004),"")</f>
        <v>356</v>
      </c>
      <c r="B1005" s="2" t="s">
        <v>112</v>
      </c>
      <c r="C1005" s="2" t="s">
        <v>111</v>
      </c>
      <c r="D1005" s="214"/>
      <c r="E1005" s="213" t="s">
        <v>134</v>
      </c>
      <c r="F1005" s="17">
        <f>3.3*4</f>
        <v>13.2</v>
      </c>
      <c r="G1005" s="127">
        <v>0.1</v>
      </c>
      <c r="H1005" s="33">
        <f>F1005*(1+G1005)</f>
        <v>14.52</v>
      </c>
      <c r="I1005" s="34" t="s">
        <v>15</v>
      </c>
      <c r="J1005" s="204">
        <f>J$151</f>
        <v>0</v>
      </c>
      <c r="K1005" s="205">
        <f>J1005*H1005</f>
        <v>0</v>
      </c>
      <c r="L1005" s="206"/>
    </row>
    <row r="1006" spans="1:12" s="187" customFormat="1" x14ac:dyDescent="0.2">
      <c r="A1006" s="111" t="str">
        <f>IF(F1006&lt;&gt;"",1+MAX($A$7:A1005),"")</f>
        <v/>
      </c>
      <c r="B1006" s="2"/>
      <c r="C1006" s="2"/>
      <c r="D1006" s="214"/>
      <c r="E1006" s="213"/>
      <c r="F1006" s="17"/>
      <c r="G1006" s="127"/>
      <c r="H1006" s="33"/>
      <c r="I1006" s="34"/>
      <c r="J1006" s="204"/>
      <c r="K1006" s="205"/>
      <c r="L1006" s="206"/>
    </row>
    <row r="1007" spans="1:12" s="187" customFormat="1" x14ac:dyDescent="0.2">
      <c r="A1007" s="111" t="str">
        <f>IF(F1007&lt;&gt;"",1+MAX($A$7:A1006),"")</f>
        <v/>
      </c>
      <c r="B1007" s="207"/>
      <c r="C1007" s="207"/>
      <c r="D1007" s="201"/>
      <c r="E1007" s="208" t="s">
        <v>152</v>
      </c>
      <c r="F1007" s="203"/>
      <c r="G1007" s="25"/>
      <c r="H1007" s="209"/>
      <c r="I1007" s="5"/>
      <c r="J1007" s="210"/>
      <c r="K1007" s="211"/>
      <c r="L1007" s="206"/>
    </row>
    <row r="1008" spans="1:12" s="187" customFormat="1" x14ac:dyDescent="0.2">
      <c r="A1008" s="111">
        <f>IF(F1008&lt;&gt;"",1+MAX($A$7:A1007),"")</f>
        <v>357</v>
      </c>
      <c r="B1008" s="2" t="s">
        <v>112</v>
      </c>
      <c r="C1008" s="2" t="s">
        <v>111</v>
      </c>
      <c r="D1008" s="212"/>
      <c r="E1008" s="213" t="s">
        <v>122</v>
      </c>
      <c r="F1008" s="17">
        <f>47.9*9</f>
        <v>431.09999999999997</v>
      </c>
      <c r="G1008" s="127">
        <v>0.1</v>
      </c>
      <c r="H1008" s="33">
        <f>F1008*(1+G1008)</f>
        <v>474.21</v>
      </c>
      <c r="I1008" s="34" t="s">
        <v>18</v>
      </c>
      <c r="J1008" s="204">
        <f>J$143</f>
        <v>0</v>
      </c>
      <c r="K1008" s="205">
        <f>J1008*H1008</f>
        <v>0</v>
      </c>
      <c r="L1008" s="206"/>
    </row>
    <row r="1009" spans="1:12" s="187" customFormat="1" x14ac:dyDescent="0.2">
      <c r="A1009" s="111" t="str">
        <f>IF(F1009&lt;&gt;"",1+MAX($A$7:A1008),"")</f>
        <v/>
      </c>
      <c r="B1009" s="45"/>
      <c r="C1009" s="45"/>
      <c r="D1009" s="214"/>
      <c r="E1009" s="215" t="s">
        <v>48</v>
      </c>
      <c r="F1009" s="216"/>
      <c r="G1009" s="217"/>
      <c r="H1009" s="33">
        <f>ROUNDUP((H1008)/32,0)</f>
        <v>15</v>
      </c>
      <c r="I1009" s="34" t="s">
        <v>49</v>
      </c>
      <c r="J1009" s="204"/>
      <c r="K1009" s="205"/>
      <c r="L1009" s="206"/>
    </row>
    <row r="1010" spans="1:12" s="187" customFormat="1" x14ac:dyDescent="0.2">
      <c r="A1010" s="111" t="str">
        <f>IF(F1010&lt;&gt;"",1+MAX($A$7:A1009),"")</f>
        <v/>
      </c>
      <c r="B1010" s="45"/>
      <c r="C1010" s="45"/>
      <c r="D1010" s="214"/>
      <c r="E1010" s="215" t="s">
        <v>50</v>
      </c>
      <c r="F1010" s="216"/>
      <c r="G1010" s="217"/>
      <c r="H1010" s="33">
        <f>ROUNDUP(H1009*24/500,0)</f>
        <v>1</v>
      </c>
      <c r="I1010" s="34" t="s">
        <v>51</v>
      </c>
      <c r="J1010" s="204"/>
      <c r="K1010" s="205"/>
      <c r="L1010" s="206"/>
    </row>
    <row r="1011" spans="1:12" s="187" customFormat="1" x14ac:dyDescent="0.2">
      <c r="A1011" s="111" t="str">
        <f>IF(F1011&lt;&gt;"",1+MAX($A$7:A1010),"")</f>
        <v/>
      </c>
      <c r="B1011" s="45"/>
      <c r="C1011" s="45"/>
      <c r="D1011" s="214"/>
      <c r="E1011" s="215" t="s">
        <v>52</v>
      </c>
      <c r="F1011" s="216"/>
      <c r="G1011" s="217"/>
      <c r="H1011" s="218">
        <f>ROUNDUP((H1008)/200,0)</f>
        <v>3</v>
      </c>
      <c r="I1011" s="34" t="s">
        <v>53</v>
      </c>
      <c r="J1011" s="204"/>
      <c r="K1011" s="205"/>
      <c r="L1011" s="206"/>
    </row>
    <row r="1012" spans="1:12" s="187" customFormat="1" x14ac:dyDescent="0.2">
      <c r="A1012" s="111" t="str">
        <f>IF(F1012&lt;&gt;"",1+MAX($A$7:A1011),"")</f>
        <v/>
      </c>
      <c r="B1012" s="45"/>
      <c r="C1012" s="45"/>
      <c r="D1012" s="214"/>
      <c r="E1012" s="215" t="s">
        <v>54</v>
      </c>
      <c r="F1012" s="216"/>
      <c r="G1012" s="217"/>
      <c r="H1012" s="218">
        <f>ROUNDUP((H1008)*5.25/1000,0)</f>
        <v>3</v>
      </c>
      <c r="I1012" s="34" t="s">
        <v>55</v>
      </c>
      <c r="J1012" s="204"/>
      <c r="K1012" s="205"/>
      <c r="L1012" s="206"/>
    </row>
    <row r="1013" spans="1:12" s="187" customFormat="1" x14ac:dyDescent="0.2">
      <c r="A1013" s="111">
        <f>IF(F1013&lt;&gt;"",1+MAX($A$7:A1012),"")</f>
        <v>358</v>
      </c>
      <c r="B1013" s="2" t="s">
        <v>112</v>
      </c>
      <c r="C1013" s="2" t="s">
        <v>111</v>
      </c>
      <c r="D1013" s="212"/>
      <c r="E1013" s="213" t="s">
        <v>108</v>
      </c>
      <c r="F1013" s="17">
        <f>148.5*9</f>
        <v>1336.5</v>
      </c>
      <c r="G1013" s="127">
        <v>0.1</v>
      </c>
      <c r="H1013" s="33">
        <f>F1013*(1+G1013)</f>
        <v>1470.15</v>
      </c>
      <c r="I1013" s="34" t="s">
        <v>18</v>
      </c>
      <c r="J1013" s="204">
        <f>J$160</f>
        <v>0</v>
      </c>
      <c r="K1013" s="205">
        <f>J1013*H1013</f>
        <v>0</v>
      </c>
      <c r="L1013" s="206"/>
    </row>
    <row r="1014" spans="1:12" s="187" customFormat="1" x14ac:dyDescent="0.2">
      <c r="A1014" s="111" t="str">
        <f>IF(F1014&lt;&gt;"",1+MAX($A$7:A1013),"")</f>
        <v/>
      </c>
      <c r="B1014" s="45"/>
      <c r="C1014" s="45"/>
      <c r="D1014" s="214"/>
      <c r="E1014" s="215" t="s">
        <v>48</v>
      </c>
      <c r="F1014" s="216"/>
      <c r="G1014" s="217"/>
      <c r="H1014" s="33">
        <f>ROUNDUP((H1013)/32,0)</f>
        <v>46</v>
      </c>
      <c r="I1014" s="34" t="s">
        <v>49</v>
      </c>
      <c r="J1014" s="204"/>
      <c r="K1014" s="205"/>
      <c r="L1014" s="206"/>
    </row>
    <row r="1015" spans="1:12" s="187" customFormat="1" x14ac:dyDescent="0.2">
      <c r="A1015" s="111" t="str">
        <f>IF(F1015&lt;&gt;"",1+MAX($A$7:A1014),"")</f>
        <v/>
      </c>
      <c r="B1015" s="45"/>
      <c r="C1015" s="45"/>
      <c r="D1015" s="214"/>
      <c r="E1015" s="215" t="s">
        <v>50</v>
      </c>
      <c r="F1015" s="216"/>
      <c r="G1015" s="217"/>
      <c r="H1015" s="33">
        <f>ROUNDUP(H1014*24/500,0)</f>
        <v>3</v>
      </c>
      <c r="I1015" s="34" t="s">
        <v>51</v>
      </c>
      <c r="J1015" s="204"/>
      <c r="K1015" s="205"/>
      <c r="L1015" s="206"/>
    </row>
    <row r="1016" spans="1:12" s="187" customFormat="1" x14ac:dyDescent="0.2">
      <c r="A1016" s="111" t="str">
        <f>IF(F1016&lt;&gt;"",1+MAX($A$7:A1015),"")</f>
        <v/>
      </c>
      <c r="B1016" s="45"/>
      <c r="C1016" s="45"/>
      <c r="D1016" s="214"/>
      <c r="E1016" s="215" t="s">
        <v>52</v>
      </c>
      <c r="F1016" s="216"/>
      <c r="G1016" s="217"/>
      <c r="H1016" s="218">
        <f>ROUNDUP((H1013)/200,0)</f>
        <v>8</v>
      </c>
      <c r="I1016" s="34" t="s">
        <v>53</v>
      </c>
      <c r="J1016" s="204"/>
      <c r="K1016" s="205"/>
      <c r="L1016" s="206"/>
    </row>
    <row r="1017" spans="1:12" s="187" customFormat="1" x14ac:dyDescent="0.2">
      <c r="A1017" s="111" t="str">
        <f>IF(F1017&lt;&gt;"",1+MAX($A$7:A1016),"")</f>
        <v/>
      </c>
      <c r="B1017" s="45"/>
      <c r="C1017" s="45"/>
      <c r="D1017" s="214"/>
      <c r="E1017" s="215" t="s">
        <v>54</v>
      </c>
      <c r="F1017" s="216"/>
      <c r="G1017" s="217"/>
      <c r="H1017" s="218">
        <f>ROUNDUP((H1013)*5.25/1000,0)</f>
        <v>8</v>
      </c>
      <c r="I1017" s="34" t="s">
        <v>55</v>
      </c>
      <c r="J1017" s="204"/>
      <c r="K1017" s="205"/>
      <c r="L1017" s="206"/>
    </row>
    <row r="1018" spans="1:12" s="187" customFormat="1" x14ac:dyDescent="0.2">
      <c r="A1018" s="111">
        <f>IF(F1018&lt;&gt;"",1+MAX($A$7:A1017),"")</f>
        <v>359</v>
      </c>
      <c r="B1018" s="2" t="s">
        <v>112</v>
      </c>
      <c r="C1018" s="2" t="s">
        <v>111</v>
      </c>
      <c r="D1018" s="214"/>
      <c r="E1018" s="213" t="s">
        <v>109</v>
      </c>
      <c r="F1018" s="17">
        <f>196.4*2</f>
        <v>392.8</v>
      </c>
      <c r="G1018" s="127">
        <v>0.1</v>
      </c>
      <c r="H1018" s="33">
        <f>F1018*(1+G1018)</f>
        <v>432.08000000000004</v>
      </c>
      <c r="I1018" s="34" t="s">
        <v>15</v>
      </c>
      <c r="J1018" s="204">
        <f>J$148</f>
        <v>0</v>
      </c>
      <c r="K1018" s="205">
        <f>J1018*H1018</f>
        <v>0</v>
      </c>
      <c r="L1018" s="206"/>
    </row>
    <row r="1019" spans="1:12" s="187" customFormat="1" x14ac:dyDescent="0.2">
      <c r="A1019" s="111" t="str">
        <f>IF(F1019&lt;&gt;"",1+MAX($A$7:A1018),"")</f>
        <v/>
      </c>
      <c r="B1019" s="2"/>
      <c r="C1019" s="2"/>
      <c r="D1019" s="214"/>
      <c r="E1019" s="213"/>
      <c r="F1019" s="17"/>
      <c r="G1019" s="127"/>
      <c r="H1019" s="33"/>
      <c r="I1019" s="34"/>
      <c r="J1019" s="204"/>
      <c r="K1019" s="205"/>
      <c r="L1019" s="206"/>
    </row>
    <row r="1020" spans="1:12" s="187" customFormat="1" x14ac:dyDescent="0.2">
      <c r="A1020" s="111" t="str">
        <f>IF(F1020&lt;&gt;"",1+MAX($A$7:A1019),"")</f>
        <v/>
      </c>
      <c r="B1020" s="207"/>
      <c r="C1020" s="207"/>
      <c r="D1020" s="201"/>
      <c r="E1020" s="208" t="s">
        <v>158</v>
      </c>
      <c r="F1020" s="203"/>
      <c r="G1020" s="25"/>
      <c r="H1020" s="209"/>
      <c r="I1020" s="5"/>
      <c r="J1020" s="210"/>
      <c r="K1020" s="211"/>
      <c r="L1020" s="206"/>
    </row>
    <row r="1021" spans="1:12" s="187" customFormat="1" x14ac:dyDescent="0.2">
      <c r="A1021" s="111">
        <f>IF(F1021&lt;&gt;"",1+MAX($A$7:A1020),"")</f>
        <v>360</v>
      </c>
      <c r="B1021" s="2" t="s">
        <v>112</v>
      </c>
      <c r="C1021" s="2" t="s">
        <v>154</v>
      </c>
      <c r="D1021" s="212"/>
      <c r="E1021" s="213" t="s">
        <v>122</v>
      </c>
      <c r="F1021" s="17">
        <f>909.7*9</f>
        <v>8187.3</v>
      </c>
      <c r="G1021" s="127">
        <v>0.1</v>
      </c>
      <c r="H1021" s="33">
        <f>F1021*(1+G1021)</f>
        <v>9006.0300000000007</v>
      </c>
      <c r="I1021" s="34" t="s">
        <v>18</v>
      </c>
      <c r="J1021" s="204">
        <f>J$143</f>
        <v>0</v>
      </c>
      <c r="K1021" s="205">
        <f>J1021*H1021</f>
        <v>0</v>
      </c>
      <c r="L1021" s="206"/>
    </row>
    <row r="1022" spans="1:12" s="187" customFormat="1" x14ac:dyDescent="0.2">
      <c r="A1022" s="111" t="str">
        <f>IF(F1022&lt;&gt;"",1+MAX($A$7:A1021),"")</f>
        <v/>
      </c>
      <c r="B1022" s="45"/>
      <c r="C1022" s="45"/>
      <c r="D1022" s="214"/>
      <c r="E1022" s="215" t="s">
        <v>48</v>
      </c>
      <c r="F1022" s="216"/>
      <c r="G1022" s="217"/>
      <c r="H1022" s="33">
        <f>ROUNDUP((H1021)/32,0)</f>
        <v>282</v>
      </c>
      <c r="I1022" s="34" t="s">
        <v>49</v>
      </c>
      <c r="J1022" s="204"/>
      <c r="K1022" s="205"/>
      <c r="L1022" s="206"/>
    </row>
    <row r="1023" spans="1:12" s="187" customFormat="1" x14ac:dyDescent="0.2">
      <c r="A1023" s="111" t="str">
        <f>IF(F1023&lt;&gt;"",1+MAX($A$7:A1022),"")</f>
        <v/>
      </c>
      <c r="B1023" s="45"/>
      <c r="C1023" s="45"/>
      <c r="D1023" s="214"/>
      <c r="E1023" s="215" t="s">
        <v>50</v>
      </c>
      <c r="F1023" s="216"/>
      <c r="G1023" s="217"/>
      <c r="H1023" s="33">
        <f>ROUNDUP(H1022*24/500,0)</f>
        <v>14</v>
      </c>
      <c r="I1023" s="34" t="s">
        <v>51</v>
      </c>
      <c r="J1023" s="204"/>
      <c r="K1023" s="205"/>
      <c r="L1023" s="206"/>
    </row>
    <row r="1024" spans="1:12" s="187" customFormat="1" x14ac:dyDescent="0.2">
      <c r="A1024" s="111" t="str">
        <f>IF(F1024&lt;&gt;"",1+MAX($A$7:A1023),"")</f>
        <v/>
      </c>
      <c r="B1024" s="45"/>
      <c r="C1024" s="45"/>
      <c r="D1024" s="214"/>
      <c r="E1024" s="215" t="s">
        <v>52</v>
      </c>
      <c r="F1024" s="216"/>
      <c r="G1024" s="217"/>
      <c r="H1024" s="218">
        <f>ROUNDUP((H1021)/200,0)</f>
        <v>46</v>
      </c>
      <c r="I1024" s="34" t="s">
        <v>53</v>
      </c>
      <c r="J1024" s="204"/>
      <c r="K1024" s="205"/>
      <c r="L1024" s="206"/>
    </row>
    <row r="1025" spans="1:12" s="187" customFormat="1" x14ac:dyDescent="0.2">
      <c r="A1025" s="111" t="str">
        <f>IF(F1025&lt;&gt;"",1+MAX($A$7:A1024),"")</f>
        <v/>
      </c>
      <c r="B1025" s="45"/>
      <c r="C1025" s="45"/>
      <c r="D1025" s="214"/>
      <c r="E1025" s="215" t="s">
        <v>54</v>
      </c>
      <c r="F1025" s="216"/>
      <c r="G1025" s="217"/>
      <c r="H1025" s="218">
        <f>ROUNDUP((H1021)*5.25/1000,0)</f>
        <v>48</v>
      </c>
      <c r="I1025" s="34" t="s">
        <v>55</v>
      </c>
      <c r="J1025" s="204"/>
      <c r="K1025" s="205"/>
      <c r="L1025" s="206"/>
    </row>
    <row r="1026" spans="1:12" s="187" customFormat="1" x14ac:dyDescent="0.2">
      <c r="A1026" s="111">
        <f>IF(F1026&lt;&gt;"",1+MAX($A$7:A1025),"")</f>
        <v>361</v>
      </c>
      <c r="B1026" s="2" t="s">
        <v>112</v>
      </c>
      <c r="C1026" s="2" t="s">
        <v>154</v>
      </c>
      <c r="D1026" s="214"/>
      <c r="E1026" s="213" t="s">
        <v>109</v>
      </c>
      <c r="F1026" s="17">
        <f>909.7*2</f>
        <v>1819.4</v>
      </c>
      <c r="G1026" s="127">
        <v>0.1</v>
      </c>
      <c r="H1026" s="33">
        <f>F1026*(1+G1026)</f>
        <v>2001.3400000000004</v>
      </c>
      <c r="I1026" s="34" t="s">
        <v>15</v>
      </c>
      <c r="J1026" s="204">
        <f>J$148</f>
        <v>0</v>
      </c>
      <c r="K1026" s="205">
        <f>J1026*H1026</f>
        <v>0</v>
      </c>
      <c r="L1026" s="206"/>
    </row>
    <row r="1027" spans="1:12" s="187" customFormat="1" x14ac:dyDescent="0.2">
      <c r="A1027" s="111">
        <f>IF(F1027&lt;&gt;"",1+MAX($A$7:A1026),"")</f>
        <v>362</v>
      </c>
      <c r="B1027" s="2" t="s">
        <v>112</v>
      </c>
      <c r="C1027" s="2" t="s">
        <v>154</v>
      </c>
      <c r="D1027" s="212"/>
      <c r="E1027" s="213" t="s">
        <v>484</v>
      </c>
      <c r="F1027" s="17">
        <f>909.7*9</f>
        <v>8187.3</v>
      </c>
      <c r="G1027" s="127">
        <v>0.1</v>
      </c>
      <c r="H1027" s="33">
        <f>F1027*(1+G1027)</f>
        <v>9006.0300000000007</v>
      </c>
      <c r="I1027" s="34" t="s">
        <v>18</v>
      </c>
      <c r="J1027" s="204">
        <f>J$276</f>
        <v>0</v>
      </c>
      <c r="K1027" s="205">
        <f>J1027*H1027</f>
        <v>0</v>
      </c>
      <c r="L1027" s="206"/>
    </row>
    <row r="1028" spans="1:12" s="187" customFormat="1" x14ac:dyDescent="0.2">
      <c r="A1028" s="111">
        <f>IF(F1028&lt;&gt;"",1+MAX($A$7:A1027),"")</f>
        <v>363</v>
      </c>
      <c r="B1028" s="2" t="s">
        <v>112</v>
      </c>
      <c r="C1028" s="2" t="s">
        <v>154</v>
      </c>
      <c r="D1028" s="212"/>
      <c r="E1028" s="213" t="s">
        <v>156</v>
      </c>
      <c r="F1028" s="17">
        <f>909.7*10.25</f>
        <v>9324.4250000000011</v>
      </c>
      <c r="G1028" s="127">
        <v>0.1</v>
      </c>
      <c r="H1028" s="33">
        <f>F1028*(1+G1028)</f>
        <v>10256.867500000002</v>
      </c>
      <c r="I1028" s="34" t="s">
        <v>18</v>
      </c>
      <c r="J1028" s="204">
        <f>J$442</f>
        <v>0</v>
      </c>
      <c r="K1028" s="205">
        <f>J1028*H1028</f>
        <v>0</v>
      </c>
      <c r="L1028" s="206"/>
    </row>
    <row r="1029" spans="1:12" s="187" customFormat="1" x14ac:dyDescent="0.2">
      <c r="A1029" s="111" t="str">
        <f>IF(F1029&lt;&gt;"",1+MAX($A$7:A1028),"")</f>
        <v/>
      </c>
      <c r="B1029" s="2"/>
      <c r="C1029" s="2"/>
      <c r="D1029" s="214"/>
      <c r="E1029" s="213"/>
      <c r="F1029" s="17"/>
      <c r="G1029" s="127"/>
      <c r="H1029" s="33"/>
      <c r="I1029" s="34"/>
      <c r="J1029" s="204"/>
      <c r="K1029" s="205"/>
      <c r="L1029" s="206"/>
    </row>
    <row r="1030" spans="1:12" s="187" customFormat="1" x14ac:dyDescent="0.2">
      <c r="A1030" s="111" t="str">
        <f>IF(F1030&lt;&gt;"",1+MAX($A$7:A1029),"")</f>
        <v/>
      </c>
      <c r="B1030" s="207"/>
      <c r="C1030" s="207"/>
      <c r="D1030" s="201"/>
      <c r="E1030" s="208" t="s">
        <v>159</v>
      </c>
      <c r="F1030" s="203"/>
      <c r="G1030" s="25"/>
      <c r="H1030" s="209"/>
      <c r="I1030" s="5"/>
      <c r="J1030" s="210"/>
      <c r="K1030" s="211"/>
      <c r="L1030" s="206"/>
    </row>
    <row r="1031" spans="1:12" s="187" customFormat="1" x14ac:dyDescent="0.2">
      <c r="A1031" s="111">
        <f>IF(F1031&lt;&gt;"",1+MAX($A$7:A1030),"")</f>
        <v>364</v>
      </c>
      <c r="B1031" s="2" t="s">
        <v>112</v>
      </c>
      <c r="C1031" s="2" t="s">
        <v>154</v>
      </c>
      <c r="D1031" s="212"/>
      <c r="E1031" s="213" t="s">
        <v>140</v>
      </c>
      <c r="F1031" s="17">
        <f>46*9*2</f>
        <v>828</v>
      </c>
      <c r="G1031" s="127">
        <v>0.1</v>
      </c>
      <c r="H1031" s="33">
        <f>F1031*(1+G1031)</f>
        <v>910.80000000000007</v>
      </c>
      <c r="I1031" s="34" t="s">
        <v>18</v>
      </c>
      <c r="J1031" s="204">
        <f>J$143</f>
        <v>0</v>
      </c>
      <c r="K1031" s="205">
        <f>J1031*H1031</f>
        <v>0</v>
      </c>
      <c r="L1031" s="206"/>
    </row>
    <row r="1032" spans="1:12" s="187" customFormat="1" x14ac:dyDescent="0.2">
      <c r="A1032" s="111" t="str">
        <f>IF(F1032&lt;&gt;"",1+MAX($A$7:A1031),"")</f>
        <v/>
      </c>
      <c r="B1032" s="45"/>
      <c r="C1032" s="45"/>
      <c r="D1032" s="214"/>
      <c r="E1032" s="215" t="s">
        <v>48</v>
      </c>
      <c r="F1032" s="216"/>
      <c r="G1032" s="217"/>
      <c r="H1032" s="33">
        <f>ROUNDUP((H1031)/32,0)</f>
        <v>29</v>
      </c>
      <c r="I1032" s="34" t="s">
        <v>49</v>
      </c>
      <c r="J1032" s="204"/>
      <c r="K1032" s="205"/>
      <c r="L1032" s="206"/>
    </row>
    <row r="1033" spans="1:12" s="187" customFormat="1" x14ac:dyDescent="0.2">
      <c r="A1033" s="111" t="str">
        <f>IF(F1033&lt;&gt;"",1+MAX($A$7:A1032),"")</f>
        <v/>
      </c>
      <c r="B1033" s="45"/>
      <c r="C1033" s="45"/>
      <c r="D1033" s="214"/>
      <c r="E1033" s="215" t="s">
        <v>50</v>
      </c>
      <c r="F1033" s="216"/>
      <c r="G1033" s="217"/>
      <c r="H1033" s="33">
        <f>ROUNDUP(H1032*24/500,0)</f>
        <v>2</v>
      </c>
      <c r="I1033" s="34" t="s">
        <v>51</v>
      </c>
      <c r="J1033" s="204"/>
      <c r="K1033" s="205"/>
      <c r="L1033" s="206"/>
    </row>
    <row r="1034" spans="1:12" s="187" customFormat="1" x14ac:dyDescent="0.2">
      <c r="A1034" s="111" t="str">
        <f>IF(F1034&lt;&gt;"",1+MAX($A$7:A1033),"")</f>
        <v/>
      </c>
      <c r="B1034" s="45"/>
      <c r="C1034" s="45"/>
      <c r="D1034" s="214"/>
      <c r="E1034" s="215" t="s">
        <v>52</v>
      </c>
      <c r="F1034" s="216"/>
      <c r="G1034" s="217"/>
      <c r="H1034" s="218">
        <f>ROUNDUP((H1031)/200,0)</f>
        <v>5</v>
      </c>
      <c r="I1034" s="34" t="s">
        <v>53</v>
      </c>
      <c r="J1034" s="204"/>
      <c r="K1034" s="205"/>
      <c r="L1034" s="206"/>
    </row>
    <row r="1035" spans="1:12" s="187" customFormat="1" x14ac:dyDescent="0.2">
      <c r="A1035" s="111" t="str">
        <f>IF(F1035&lt;&gt;"",1+MAX($A$7:A1034),"")</f>
        <v/>
      </c>
      <c r="B1035" s="45"/>
      <c r="C1035" s="45"/>
      <c r="D1035" s="214"/>
      <c r="E1035" s="215" t="s">
        <v>54</v>
      </c>
      <c r="F1035" s="216"/>
      <c r="G1035" s="217"/>
      <c r="H1035" s="218">
        <f>ROUNDUP((H1031)*5.25/1000,0)</f>
        <v>5</v>
      </c>
      <c r="I1035" s="34" t="s">
        <v>55</v>
      </c>
      <c r="J1035" s="204"/>
      <c r="K1035" s="205"/>
      <c r="L1035" s="206"/>
    </row>
    <row r="1036" spans="1:12" s="187" customFormat="1" x14ac:dyDescent="0.2">
      <c r="A1036" s="111">
        <f>IF(F1036&lt;&gt;"",1+MAX($A$7:A1035),"")</f>
        <v>365</v>
      </c>
      <c r="B1036" s="2" t="s">
        <v>112</v>
      </c>
      <c r="C1036" s="2" t="s">
        <v>154</v>
      </c>
      <c r="D1036" s="214"/>
      <c r="E1036" s="213" t="s">
        <v>109</v>
      </c>
      <c r="F1036" s="17">
        <f>46*2</f>
        <v>92</v>
      </c>
      <c r="G1036" s="127">
        <v>0.1</v>
      </c>
      <c r="H1036" s="33">
        <f>F1036*(1+G1036)</f>
        <v>101.2</v>
      </c>
      <c r="I1036" s="34" t="s">
        <v>15</v>
      </c>
      <c r="J1036" s="204">
        <f>J$148</f>
        <v>0</v>
      </c>
      <c r="K1036" s="205">
        <f>J1036*H1036</f>
        <v>0</v>
      </c>
      <c r="L1036" s="206"/>
    </row>
    <row r="1037" spans="1:12" s="187" customFormat="1" x14ac:dyDescent="0.2">
      <c r="A1037" s="111">
        <f>IF(F1037&lt;&gt;"",1+MAX($A$7:A1036),"")</f>
        <v>366</v>
      </c>
      <c r="B1037" s="2" t="s">
        <v>112</v>
      </c>
      <c r="C1037" s="2" t="s">
        <v>154</v>
      </c>
      <c r="D1037" s="212"/>
      <c r="E1037" s="213" t="s">
        <v>484</v>
      </c>
      <c r="F1037" s="17">
        <f>46*9</f>
        <v>414</v>
      </c>
      <c r="G1037" s="127">
        <v>0.1</v>
      </c>
      <c r="H1037" s="33">
        <f>F1037*(1+G1037)</f>
        <v>455.40000000000003</v>
      </c>
      <c r="I1037" s="34" t="s">
        <v>18</v>
      </c>
      <c r="J1037" s="204">
        <f>J$276</f>
        <v>0</v>
      </c>
      <c r="K1037" s="205">
        <f>J1037*H1037</f>
        <v>0</v>
      </c>
      <c r="L1037" s="206"/>
    </row>
    <row r="1038" spans="1:12" s="187" customFormat="1" x14ac:dyDescent="0.2">
      <c r="A1038" s="111">
        <f>IF(F1038&lt;&gt;"",1+MAX($A$7:A1037),"")</f>
        <v>367</v>
      </c>
      <c r="B1038" s="2" t="s">
        <v>112</v>
      </c>
      <c r="C1038" s="2" t="s">
        <v>154</v>
      </c>
      <c r="D1038" s="212"/>
      <c r="E1038" s="213" t="s">
        <v>156</v>
      </c>
      <c r="F1038" s="17">
        <f>46*11</f>
        <v>506</v>
      </c>
      <c r="G1038" s="127">
        <v>0.1</v>
      </c>
      <c r="H1038" s="33">
        <f>F1038*(1+G1038)</f>
        <v>556.6</v>
      </c>
      <c r="I1038" s="34" t="s">
        <v>18</v>
      </c>
      <c r="J1038" s="204">
        <f>J$442</f>
        <v>0</v>
      </c>
      <c r="K1038" s="205">
        <f>J1038*H1038</f>
        <v>0</v>
      </c>
      <c r="L1038" s="206"/>
    </row>
    <row r="1039" spans="1:12" s="187" customFormat="1" x14ac:dyDescent="0.2">
      <c r="A1039" s="111" t="str">
        <f>IF(F1039&lt;&gt;"",1+MAX($A$7:A1038),"")</f>
        <v/>
      </c>
      <c r="B1039" s="2"/>
      <c r="C1039" s="2"/>
      <c r="D1039" s="214"/>
      <c r="E1039" s="213"/>
      <c r="F1039" s="17"/>
      <c r="G1039" s="127"/>
      <c r="H1039" s="33"/>
      <c r="I1039" s="34"/>
      <c r="J1039" s="204"/>
      <c r="K1039" s="205"/>
      <c r="L1039" s="206"/>
    </row>
    <row r="1040" spans="1:12" s="187" customFormat="1" x14ac:dyDescent="0.2">
      <c r="A1040" s="111" t="str">
        <f>IF(F1040&lt;&gt;"",1+MAX($A$7:A1039),"")</f>
        <v/>
      </c>
      <c r="B1040" s="207"/>
      <c r="C1040" s="207"/>
      <c r="D1040" s="201"/>
      <c r="E1040" s="208" t="s">
        <v>206</v>
      </c>
      <c r="F1040" s="203"/>
      <c r="G1040" s="25"/>
      <c r="H1040" s="209"/>
      <c r="I1040" s="5"/>
      <c r="J1040" s="210"/>
      <c r="K1040" s="211"/>
      <c r="L1040" s="206"/>
    </row>
    <row r="1041" spans="1:12" s="187" customFormat="1" x14ac:dyDescent="0.2">
      <c r="A1041" s="111">
        <f>IF(F1041&lt;&gt;"",1+MAX($A$7:A1040),"")</f>
        <v>368</v>
      </c>
      <c r="B1041" s="2" t="s">
        <v>112</v>
      </c>
      <c r="C1041" s="2" t="s">
        <v>209</v>
      </c>
      <c r="D1041" s="212"/>
      <c r="E1041" s="213" t="s">
        <v>156</v>
      </c>
      <c r="F1041" s="17">
        <f>(176.7*3.67+10.3*2.83)*2</f>
        <v>1355.2759999999998</v>
      </c>
      <c r="G1041" s="127">
        <v>0.1</v>
      </c>
      <c r="H1041" s="33">
        <f>F1041*(1+G1041)</f>
        <v>1490.8036</v>
      </c>
      <c r="I1041" s="34" t="s">
        <v>18</v>
      </c>
      <c r="J1041" s="204">
        <f>J$442</f>
        <v>0</v>
      </c>
      <c r="K1041" s="205">
        <f>J1041*H1041</f>
        <v>0</v>
      </c>
      <c r="L1041" s="206"/>
    </row>
    <row r="1042" spans="1:12" s="187" customFormat="1" x14ac:dyDescent="0.2">
      <c r="A1042" s="111">
        <f>IF(F1042&lt;&gt;"",1+MAX($A$7:A1041),"")</f>
        <v>369</v>
      </c>
      <c r="B1042" s="2" t="s">
        <v>112</v>
      </c>
      <c r="C1042" s="2" t="s">
        <v>209</v>
      </c>
      <c r="D1042" s="212"/>
      <c r="E1042" s="213" t="s">
        <v>484</v>
      </c>
      <c r="F1042" s="17">
        <f>176.7*3.67+10.3*2.83</f>
        <v>677.63799999999992</v>
      </c>
      <c r="G1042" s="127">
        <v>0.1</v>
      </c>
      <c r="H1042" s="33">
        <f>F1042*(1+G1042)</f>
        <v>745.40179999999998</v>
      </c>
      <c r="I1042" s="34" t="s">
        <v>18</v>
      </c>
      <c r="J1042" s="204">
        <f>J$276</f>
        <v>0</v>
      </c>
      <c r="K1042" s="205">
        <f>J1042*H1042</f>
        <v>0</v>
      </c>
      <c r="L1042" s="206"/>
    </row>
    <row r="1043" spans="1:12" s="187" customFormat="1" x14ac:dyDescent="0.2">
      <c r="A1043" s="111" t="str">
        <f>IF(F1043&lt;&gt;"",1+MAX($A$7:A1042),"")</f>
        <v/>
      </c>
      <c r="B1043" s="2"/>
      <c r="C1043" s="2"/>
      <c r="D1043" s="214"/>
      <c r="E1043" s="213"/>
      <c r="F1043" s="17"/>
      <c r="G1043" s="127"/>
      <c r="H1043" s="33"/>
      <c r="I1043" s="34"/>
      <c r="J1043" s="204"/>
      <c r="K1043" s="205"/>
      <c r="L1043" s="206"/>
    </row>
    <row r="1044" spans="1:12" s="187" customFormat="1" x14ac:dyDescent="0.2">
      <c r="A1044" s="111" t="str">
        <f>IF(F1044&lt;&gt;"",1+MAX($A$7:A1043),"")</f>
        <v/>
      </c>
      <c r="B1044" s="32"/>
      <c r="C1044" s="200"/>
      <c r="D1044" s="201"/>
      <c r="E1044" s="202" t="s">
        <v>210</v>
      </c>
      <c r="F1044" s="203"/>
      <c r="G1044" s="3"/>
      <c r="H1044" s="4"/>
      <c r="I1044" s="26"/>
      <c r="J1044" s="204"/>
      <c r="K1044" s="205"/>
      <c r="L1044" s="206"/>
    </row>
    <row r="1045" spans="1:12" s="187" customFormat="1" x14ac:dyDescent="0.2">
      <c r="A1045" s="111" t="str">
        <f>IF(F1045&lt;&gt;"",1+MAX($A$7:A1044),"")</f>
        <v/>
      </c>
      <c r="B1045" s="207"/>
      <c r="C1045" s="207"/>
      <c r="D1045" s="201"/>
      <c r="E1045" s="208" t="s">
        <v>110</v>
      </c>
      <c r="F1045" s="203"/>
      <c r="G1045" s="25"/>
      <c r="H1045" s="209"/>
      <c r="I1045" s="5"/>
      <c r="J1045" s="210"/>
      <c r="K1045" s="211"/>
      <c r="L1045" s="206"/>
    </row>
    <row r="1046" spans="1:12" s="187" customFormat="1" x14ac:dyDescent="0.2">
      <c r="A1046" s="111">
        <f>IF(F1046&lt;&gt;"",1+MAX($A$7:A1045),"")</f>
        <v>370</v>
      </c>
      <c r="B1046" s="2" t="s">
        <v>112</v>
      </c>
      <c r="C1046" s="2" t="s">
        <v>111</v>
      </c>
      <c r="D1046" s="212"/>
      <c r="E1046" s="213" t="s">
        <v>107</v>
      </c>
      <c r="F1046" s="17">
        <f>62.7*9*2+10*9</f>
        <v>1218.6000000000001</v>
      </c>
      <c r="G1046" s="127">
        <v>0.1</v>
      </c>
      <c r="H1046" s="33">
        <f>F1046*(1+G1046)</f>
        <v>1340.4600000000003</v>
      </c>
      <c r="I1046" s="34" t="s">
        <v>18</v>
      </c>
      <c r="J1046" s="204">
        <f>J$143</f>
        <v>0</v>
      </c>
      <c r="K1046" s="205">
        <f>J1046*H1046</f>
        <v>0</v>
      </c>
      <c r="L1046" s="206"/>
    </row>
    <row r="1047" spans="1:12" s="187" customFormat="1" x14ac:dyDescent="0.2">
      <c r="A1047" s="111" t="str">
        <f>IF(F1047&lt;&gt;"",1+MAX($A$7:A1046),"")</f>
        <v/>
      </c>
      <c r="B1047" s="45"/>
      <c r="C1047" s="45"/>
      <c r="D1047" s="214"/>
      <c r="E1047" s="215" t="s">
        <v>48</v>
      </c>
      <c r="F1047" s="216"/>
      <c r="G1047" s="217"/>
      <c r="H1047" s="33">
        <f>ROUNDUP((H1046)/32,0)</f>
        <v>42</v>
      </c>
      <c r="I1047" s="34" t="s">
        <v>49</v>
      </c>
      <c r="J1047" s="204"/>
      <c r="K1047" s="205"/>
      <c r="L1047" s="206"/>
    </row>
    <row r="1048" spans="1:12" s="187" customFormat="1" x14ac:dyDescent="0.2">
      <c r="A1048" s="111" t="str">
        <f>IF(F1048&lt;&gt;"",1+MAX($A$7:A1047),"")</f>
        <v/>
      </c>
      <c r="B1048" s="45"/>
      <c r="C1048" s="45"/>
      <c r="D1048" s="214"/>
      <c r="E1048" s="215" t="s">
        <v>50</v>
      </c>
      <c r="F1048" s="216"/>
      <c r="G1048" s="217"/>
      <c r="H1048" s="33">
        <f>ROUNDUP(H1047*24/500,0)</f>
        <v>3</v>
      </c>
      <c r="I1048" s="34" t="s">
        <v>51</v>
      </c>
      <c r="J1048" s="204"/>
      <c r="K1048" s="205"/>
      <c r="L1048" s="206"/>
    </row>
    <row r="1049" spans="1:12" s="187" customFormat="1" x14ac:dyDescent="0.2">
      <c r="A1049" s="111" t="str">
        <f>IF(F1049&lt;&gt;"",1+MAX($A$7:A1048),"")</f>
        <v/>
      </c>
      <c r="B1049" s="45"/>
      <c r="C1049" s="45"/>
      <c r="D1049" s="214"/>
      <c r="E1049" s="215" t="s">
        <v>52</v>
      </c>
      <c r="F1049" s="216"/>
      <c r="G1049" s="217"/>
      <c r="H1049" s="218">
        <f>ROUNDUP((H1046)/200,0)</f>
        <v>7</v>
      </c>
      <c r="I1049" s="34" t="s">
        <v>53</v>
      </c>
      <c r="J1049" s="204"/>
      <c r="K1049" s="205"/>
      <c r="L1049" s="206"/>
    </row>
    <row r="1050" spans="1:12" s="187" customFormat="1" x14ac:dyDescent="0.2">
      <c r="A1050" s="111" t="str">
        <f>IF(F1050&lt;&gt;"",1+MAX($A$7:A1049),"")</f>
        <v/>
      </c>
      <c r="B1050" s="45"/>
      <c r="C1050" s="45"/>
      <c r="D1050" s="214"/>
      <c r="E1050" s="215" t="s">
        <v>54</v>
      </c>
      <c r="F1050" s="216"/>
      <c r="G1050" s="217"/>
      <c r="H1050" s="218">
        <f>ROUNDUP((H1046)*5.25/1000,0)</f>
        <v>8</v>
      </c>
      <c r="I1050" s="34" t="s">
        <v>55</v>
      </c>
      <c r="J1050" s="204"/>
      <c r="K1050" s="205"/>
      <c r="L1050" s="206"/>
    </row>
    <row r="1051" spans="1:12" s="187" customFormat="1" x14ac:dyDescent="0.2">
      <c r="A1051" s="111">
        <f>IF(F1051&lt;&gt;"",1+MAX($A$7:A1050),"")</f>
        <v>371</v>
      </c>
      <c r="B1051" s="2" t="s">
        <v>112</v>
      </c>
      <c r="C1051" s="2" t="s">
        <v>111</v>
      </c>
      <c r="D1051" s="212"/>
      <c r="E1051" s="213" t="s">
        <v>108</v>
      </c>
      <c r="F1051" s="17">
        <f>31.8*9*2+10*9</f>
        <v>662.4</v>
      </c>
      <c r="G1051" s="127">
        <v>0.1</v>
      </c>
      <c r="H1051" s="33">
        <f>F1051*(1+G1051)</f>
        <v>728.64</v>
      </c>
      <c r="I1051" s="34" t="s">
        <v>18</v>
      </c>
      <c r="J1051" s="204">
        <f>J$160</f>
        <v>0</v>
      </c>
      <c r="K1051" s="205">
        <f>J1051*H1051</f>
        <v>0</v>
      </c>
      <c r="L1051" s="206"/>
    </row>
    <row r="1052" spans="1:12" s="187" customFormat="1" x14ac:dyDescent="0.2">
      <c r="A1052" s="111" t="str">
        <f>IF(F1052&lt;&gt;"",1+MAX($A$7:A1051),"")</f>
        <v/>
      </c>
      <c r="B1052" s="45"/>
      <c r="C1052" s="45"/>
      <c r="D1052" s="214"/>
      <c r="E1052" s="215" t="s">
        <v>48</v>
      </c>
      <c r="F1052" s="216"/>
      <c r="G1052" s="217"/>
      <c r="H1052" s="33">
        <f>ROUNDUP((H1051)/32,0)</f>
        <v>23</v>
      </c>
      <c r="I1052" s="34" t="s">
        <v>49</v>
      </c>
      <c r="J1052" s="204"/>
      <c r="K1052" s="205"/>
      <c r="L1052" s="206"/>
    </row>
    <row r="1053" spans="1:12" s="187" customFormat="1" x14ac:dyDescent="0.2">
      <c r="A1053" s="111" t="str">
        <f>IF(F1053&lt;&gt;"",1+MAX($A$7:A1052),"")</f>
        <v/>
      </c>
      <c r="B1053" s="45"/>
      <c r="C1053" s="45"/>
      <c r="D1053" s="214"/>
      <c r="E1053" s="215" t="s">
        <v>50</v>
      </c>
      <c r="F1053" s="216"/>
      <c r="G1053" s="217"/>
      <c r="H1053" s="33">
        <f>ROUNDUP(H1052*24/500,0)</f>
        <v>2</v>
      </c>
      <c r="I1053" s="34" t="s">
        <v>51</v>
      </c>
      <c r="J1053" s="204"/>
      <c r="K1053" s="205"/>
      <c r="L1053" s="206"/>
    </row>
    <row r="1054" spans="1:12" s="187" customFormat="1" x14ac:dyDescent="0.2">
      <c r="A1054" s="111" t="str">
        <f>IF(F1054&lt;&gt;"",1+MAX($A$7:A1053),"")</f>
        <v/>
      </c>
      <c r="B1054" s="45"/>
      <c r="C1054" s="45"/>
      <c r="D1054" s="214"/>
      <c r="E1054" s="215" t="s">
        <v>52</v>
      </c>
      <c r="F1054" s="216"/>
      <c r="G1054" s="217"/>
      <c r="H1054" s="218">
        <f>ROUNDUP((H1051)/200,0)</f>
        <v>4</v>
      </c>
      <c r="I1054" s="34" t="s">
        <v>53</v>
      </c>
      <c r="J1054" s="204"/>
      <c r="K1054" s="205"/>
      <c r="L1054" s="206"/>
    </row>
    <row r="1055" spans="1:12" s="187" customFormat="1" x14ac:dyDescent="0.2">
      <c r="A1055" s="111" t="str">
        <f>IF(F1055&lt;&gt;"",1+MAX($A$7:A1054),"")</f>
        <v/>
      </c>
      <c r="B1055" s="45"/>
      <c r="C1055" s="45"/>
      <c r="D1055" s="214"/>
      <c r="E1055" s="215" t="s">
        <v>54</v>
      </c>
      <c r="F1055" s="216"/>
      <c r="G1055" s="217"/>
      <c r="H1055" s="218">
        <f>ROUNDUP((H1051)*5.25/1000,0)</f>
        <v>4</v>
      </c>
      <c r="I1055" s="34" t="s">
        <v>55</v>
      </c>
      <c r="J1055" s="204"/>
      <c r="K1055" s="205"/>
      <c r="L1055" s="206"/>
    </row>
    <row r="1056" spans="1:12" s="187" customFormat="1" x14ac:dyDescent="0.2">
      <c r="A1056" s="111">
        <f>IF(F1056&lt;&gt;"",1+MAX($A$7:A1055),"")</f>
        <v>372</v>
      </c>
      <c r="B1056" s="2" t="s">
        <v>112</v>
      </c>
      <c r="C1056" s="2" t="s">
        <v>111</v>
      </c>
      <c r="D1056" s="214"/>
      <c r="E1056" s="213" t="s">
        <v>109</v>
      </c>
      <c r="F1056" s="17">
        <f>104.5*4</f>
        <v>418</v>
      </c>
      <c r="G1056" s="127">
        <v>0.1</v>
      </c>
      <c r="H1056" s="33">
        <f>F1056*(1+G1056)</f>
        <v>459.8</v>
      </c>
      <c r="I1056" s="34" t="s">
        <v>15</v>
      </c>
      <c r="J1056" s="204">
        <f>J$148</f>
        <v>0</v>
      </c>
      <c r="K1056" s="205">
        <f>J1056*H1056</f>
        <v>0</v>
      </c>
      <c r="L1056" s="206"/>
    </row>
    <row r="1057" spans="1:12" s="187" customFormat="1" x14ac:dyDescent="0.2">
      <c r="A1057" s="111" t="str">
        <f>IF(F1057&lt;&gt;"",1+MAX($A$7:A1056),"")</f>
        <v/>
      </c>
      <c r="B1057" s="2"/>
      <c r="C1057" s="2"/>
      <c r="D1057" s="214"/>
      <c r="E1057" s="213"/>
      <c r="F1057" s="17"/>
      <c r="G1057" s="127"/>
      <c r="H1057" s="33"/>
      <c r="I1057" s="34"/>
      <c r="J1057" s="204"/>
      <c r="K1057" s="205"/>
      <c r="L1057" s="206"/>
    </row>
    <row r="1058" spans="1:12" s="187" customFormat="1" x14ac:dyDescent="0.2">
      <c r="A1058" s="111" t="str">
        <f>IF(F1058&lt;&gt;"",1+MAX($A$7:A1057),"")</f>
        <v/>
      </c>
      <c r="B1058" s="207"/>
      <c r="C1058" s="207"/>
      <c r="D1058" s="201"/>
      <c r="E1058" s="208" t="s">
        <v>113</v>
      </c>
      <c r="F1058" s="203"/>
      <c r="G1058" s="25"/>
      <c r="H1058" s="209"/>
      <c r="I1058" s="5"/>
      <c r="J1058" s="210"/>
      <c r="K1058" s="211"/>
      <c r="L1058" s="206"/>
    </row>
    <row r="1059" spans="1:12" s="187" customFormat="1" x14ac:dyDescent="0.2">
      <c r="A1059" s="111">
        <f>IF(F1059&lt;&gt;"",1+MAX($A$7:A1058),"")</f>
        <v>373</v>
      </c>
      <c r="B1059" s="2" t="s">
        <v>112</v>
      </c>
      <c r="C1059" s="2" t="s">
        <v>111</v>
      </c>
      <c r="D1059" s="212"/>
      <c r="E1059" s="213" t="s">
        <v>107</v>
      </c>
      <c r="F1059" s="17">
        <f>967.1*9*2+236.5*9+21.8*3.5*2</f>
        <v>19688.899999999998</v>
      </c>
      <c r="G1059" s="127">
        <v>0.1</v>
      </c>
      <c r="H1059" s="33">
        <f>F1059*(1+G1059)</f>
        <v>21657.79</v>
      </c>
      <c r="I1059" s="34" t="s">
        <v>18</v>
      </c>
      <c r="J1059" s="204">
        <f>J$143</f>
        <v>0</v>
      </c>
      <c r="K1059" s="205">
        <f>J1059*H1059</f>
        <v>0</v>
      </c>
      <c r="L1059" s="206"/>
    </row>
    <row r="1060" spans="1:12" s="187" customFormat="1" x14ac:dyDescent="0.2">
      <c r="A1060" s="111" t="str">
        <f>IF(F1060&lt;&gt;"",1+MAX($A$7:A1059),"")</f>
        <v/>
      </c>
      <c r="B1060" s="45"/>
      <c r="C1060" s="45"/>
      <c r="D1060" s="214"/>
      <c r="E1060" s="215" t="s">
        <v>48</v>
      </c>
      <c r="F1060" s="216"/>
      <c r="G1060" s="217"/>
      <c r="H1060" s="33">
        <f>ROUNDUP((H1059)/32,0)</f>
        <v>677</v>
      </c>
      <c r="I1060" s="34" t="s">
        <v>49</v>
      </c>
      <c r="J1060" s="204"/>
      <c r="K1060" s="205"/>
      <c r="L1060" s="206"/>
    </row>
    <row r="1061" spans="1:12" s="187" customFormat="1" x14ac:dyDescent="0.2">
      <c r="A1061" s="111" t="str">
        <f>IF(F1061&lt;&gt;"",1+MAX($A$7:A1060),"")</f>
        <v/>
      </c>
      <c r="B1061" s="45"/>
      <c r="C1061" s="45"/>
      <c r="D1061" s="214"/>
      <c r="E1061" s="215" t="s">
        <v>50</v>
      </c>
      <c r="F1061" s="216"/>
      <c r="G1061" s="217"/>
      <c r="H1061" s="33">
        <f>ROUNDUP(H1060*24/500,0)</f>
        <v>33</v>
      </c>
      <c r="I1061" s="34" t="s">
        <v>51</v>
      </c>
      <c r="J1061" s="204"/>
      <c r="K1061" s="205"/>
      <c r="L1061" s="206"/>
    </row>
    <row r="1062" spans="1:12" s="187" customFormat="1" x14ac:dyDescent="0.2">
      <c r="A1062" s="111" t="str">
        <f>IF(F1062&lt;&gt;"",1+MAX($A$7:A1061),"")</f>
        <v/>
      </c>
      <c r="B1062" s="45"/>
      <c r="C1062" s="45"/>
      <c r="D1062" s="214"/>
      <c r="E1062" s="215" t="s">
        <v>52</v>
      </c>
      <c r="F1062" s="216"/>
      <c r="G1062" s="217"/>
      <c r="H1062" s="218">
        <f>ROUNDUP((H1059)/200,0)</f>
        <v>109</v>
      </c>
      <c r="I1062" s="34" t="s">
        <v>53</v>
      </c>
      <c r="J1062" s="204"/>
      <c r="K1062" s="205"/>
      <c r="L1062" s="206"/>
    </row>
    <row r="1063" spans="1:12" s="187" customFormat="1" x14ac:dyDescent="0.2">
      <c r="A1063" s="111" t="str">
        <f>IF(F1063&lt;&gt;"",1+MAX($A$7:A1062),"")</f>
        <v/>
      </c>
      <c r="B1063" s="45"/>
      <c r="C1063" s="45"/>
      <c r="D1063" s="214"/>
      <c r="E1063" s="215" t="s">
        <v>54</v>
      </c>
      <c r="F1063" s="216"/>
      <c r="G1063" s="217"/>
      <c r="H1063" s="218">
        <f>ROUNDUP((H1059)*5.25/1000,0)</f>
        <v>114</v>
      </c>
      <c r="I1063" s="34" t="s">
        <v>55</v>
      </c>
      <c r="J1063" s="204"/>
      <c r="K1063" s="205"/>
      <c r="L1063" s="206"/>
    </row>
    <row r="1064" spans="1:12" s="187" customFormat="1" x14ac:dyDescent="0.2">
      <c r="A1064" s="111">
        <f>IF(F1064&lt;&gt;"",1+MAX($A$7:A1063),"")</f>
        <v>374</v>
      </c>
      <c r="B1064" s="2" t="s">
        <v>112</v>
      </c>
      <c r="C1064" s="2" t="s">
        <v>111</v>
      </c>
      <c r="D1064" s="212"/>
      <c r="E1064" s="213" t="s">
        <v>108</v>
      </c>
      <c r="F1064" s="17">
        <f>236.6*9</f>
        <v>2129.4</v>
      </c>
      <c r="G1064" s="127">
        <v>0.1</v>
      </c>
      <c r="H1064" s="33">
        <f>F1064*(1+G1064)</f>
        <v>2342.34</v>
      </c>
      <c r="I1064" s="34" t="s">
        <v>18</v>
      </c>
      <c r="J1064" s="204">
        <f>J$160</f>
        <v>0</v>
      </c>
      <c r="K1064" s="205">
        <f>J1064*H1064</f>
        <v>0</v>
      </c>
      <c r="L1064" s="206"/>
    </row>
    <row r="1065" spans="1:12" s="187" customFormat="1" x14ac:dyDescent="0.2">
      <c r="A1065" s="111" t="str">
        <f>IF(F1065&lt;&gt;"",1+MAX($A$7:A1064),"")</f>
        <v/>
      </c>
      <c r="B1065" s="45"/>
      <c r="C1065" s="45"/>
      <c r="D1065" s="214"/>
      <c r="E1065" s="215" t="s">
        <v>48</v>
      </c>
      <c r="F1065" s="216"/>
      <c r="G1065" s="217"/>
      <c r="H1065" s="33">
        <f>ROUNDUP((H1064)/32,0)</f>
        <v>74</v>
      </c>
      <c r="I1065" s="34" t="s">
        <v>49</v>
      </c>
      <c r="J1065" s="204"/>
      <c r="K1065" s="205"/>
      <c r="L1065" s="206"/>
    </row>
    <row r="1066" spans="1:12" s="187" customFormat="1" x14ac:dyDescent="0.2">
      <c r="A1066" s="111" t="str">
        <f>IF(F1066&lt;&gt;"",1+MAX($A$7:A1065),"")</f>
        <v/>
      </c>
      <c r="B1066" s="45"/>
      <c r="C1066" s="45"/>
      <c r="D1066" s="214"/>
      <c r="E1066" s="215" t="s">
        <v>50</v>
      </c>
      <c r="F1066" s="216"/>
      <c r="G1066" s="217"/>
      <c r="H1066" s="33">
        <f>ROUNDUP(H1065*24/500,0)</f>
        <v>4</v>
      </c>
      <c r="I1066" s="34" t="s">
        <v>51</v>
      </c>
      <c r="J1066" s="204"/>
      <c r="K1066" s="205"/>
      <c r="L1066" s="206"/>
    </row>
    <row r="1067" spans="1:12" s="187" customFormat="1" x14ac:dyDescent="0.2">
      <c r="A1067" s="111" t="str">
        <f>IF(F1067&lt;&gt;"",1+MAX($A$7:A1066),"")</f>
        <v/>
      </c>
      <c r="B1067" s="45"/>
      <c r="C1067" s="45"/>
      <c r="D1067" s="214"/>
      <c r="E1067" s="215" t="s">
        <v>52</v>
      </c>
      <c r="F1067" s="216"/>
      <c r="G1067" s="217"/>
      <c r="H1067" s="218">
        <f>ROUNDUP((H1064)/200,0)</f>
        <v>12</v>
      </c>
      <c r="I1067" s="34" t="s">
        <v>53</v>
      </c>
      <c r="J1067" s="204"/>
      <c r="K1067" s="205"/>
      <c r="L1067" s="206"/>
    </row>
    <row r="1068" spans="1:12" s="187" customFormat="1" x14ac:dyDescent="0.2">
      <c r="A1068" s="111" t="str">
        <f>IF(F1068&lt;&gt;"",1+MAX($A$7:A1067),"")</f>
        <v/>
      </c>
      <c r="B1068" s="45"/>
      <c r="C1068" s="45"/>
      <c r="D1068" s="214"/>
      <c r="E1068" s="215" t="s">
        <v>54</v>
      </c>
      <c r="F1068" s="216"/>
      <c r="G1068" s="217"/>
      <c r="H1068" s="218">
        <f>ROUNDUP((H1064)*5.25/1000,0)</f>
        <v>13</v>
      </c>
      <c r="I1068" s="34" t="s">
        <v>55</v>
      </c>
      <c r="J1068" s="204"/>
      <c r="K1068" s="205"/>
      <c r="L1068" s="206"/>
    </row>
    <row r="1069" spans="1:12" s="187" customFormat="1" x14ac:dyDescent="0.2">
      <c r="A1069" s="111">
        <f>IF(F1069&lt;&gt;"",1+MAX($A$7:A1068),"")</f>
        <v>375</v>
      </c>
      <c r="B1069" s="2" t="s">
        <v>112</v>
      </c>
      <c r="C1069" s="2" t="s">
        <v>111</v>
      </c>
      <c r="D1069" s="214"/>
      <c r="E1069" s="213" t="s">
        <v>109</v>
      </c>
      <c r="F1069" s="17">
        <f>1203.6*4+21.8*4</f>
        <v>4901.5999999999995</v>
      </c>
      <c r="G1069" s="127">
        <v>0.1</v>
      </c>
      <c r="H1069" s="33">
        <f>F1069*(1+G1069)</f>
        <v>5391.76</v>
      </c>
      <c r="I1069" s="34" t="s">
        <v>15</v>
      </c>
      <c r="J1069" s="204">
        <f>J$148</f>
        <v>0</v>
      </c>
      <c r="K1069" s="205">
        <f>J1069*H1069</f>
        <v>0</v>
      </c>
      <c r="L1069" s="206"/>
    </row>
    <row r="1070" spans="1:12" s="187" customFormat="1" x14ac:dyDescent="0.2">
      <c r="A1070" s="111" t="str">
        <f>IF(F1070&lt;&gt;"",1+MAX($A$7:A1069),"")</f>
        <v/>
      </c>
      <c r="B1070" s="2"/>
      <c r="C1070" s="2"/>
      <c r="D1070" s="214"/>
      <c r="E1070" s="213"/>
      <c r="F1070" s="17"/>
      <c r="G1070" s="127"/>
      <c r="H1070" s="33"/>
      <c r="I1070" s="34"/>
      <c r="J1070" s="204"/>
      <c r="K1070" s="205"/>
      <c r="L1070" s="206"/>
    </row>
    <row r="1071" spans="1:12" s="187" customFormat="1" x14ac:dyDescent="0.2">
      <c r="A1071" s="111" t="str">
        <f>IF(F1071&lt;&gt;"",1+MAX($A$7:A1070),"")</f>
        <v/>
      </c>
      <c r="B1071" s="207"/>
      <c r="C1071" s="207"/>
      <c r="D1071" s="201"/>
      <c r="E1071" s="208" t="s">
        <v>114</v>
      </c>
      <c r="F1071" s="203"/>
      <c r="G1071" s="25"/>
      <c r="H1071" s="209"/>
      <c r="I1071" s="5"/>
      <c r="J1071" s="210"/>
      <c r="K1071" s="211"/>
      <c r="L1071" s="206"/>
    </row>
    <row r="1072" spans="1:12" s="187" customFormat="1" x14ac:dyDescent="0.2">
      <c r="A1072" s="111">
        <f>IF(F1072&lt;&gt;"",1+MAX($A$7:A1071),"")</f>
        <v>376</v>
      </c>
      <c r="B1072" s="2" t="s">
        <v>112</v>
      </c>
      <c r="C1072" s="2" t="s">
        <v>111</v>
      </c>
      <c r="D1072" s="212"/>
      <c r="E1072" s="213" t="s">
        <v>107</v>
      </c>
      <c r="F1072" s="17">
        <f>8.2*9</f>
        <v>73.8</v>
      </c>
      <c r="G1072" s="127">
        <v>0.1</v>
      </c>
      <c r="H1072" s="33">
        <f>F1072*(1+G1072)</f>
        <v>81.180000000000007</v>
      </c>
      <c r="I1072" s="34" t="s">
        <v>18</v>
      </c>
      <c r="J1072" s="204">
        <f>J$143</f>
        <v>0</v>
      </c>
      <c r="K1072" s="205">
        <f>J1072*H1072</f>
        <v>0</v>
      </c>
      <c r="L1072" s="206"/>
    </row>
    <row r="1073" spans="1:12" s="187" customFormat="1" x14ac:dyDescent="0.2">
      <c r="A1073" s="111" t="str">
        <f>IF(F1073&lt;&gt;"",1+MAX($A$7:A1072),"")</f>
        <v/>
      </c>
      <c r="B1073" s="45"/>
      <c r="C1073" s="45"/>
      <c r="D1073" s="214"/>
      <c r="E1073" s="215" t="s">
        <v>48</v>
      </c>
      <c r="F1073" s="216"/>
      <c r="G1073" s="217"/>
      <c r="H1073" s="33">
        <f>ROUNDUP((H1072)/32,0)</f>
        <v>3</v>
      </c>
      <c r="I1073" s="34" t="s">
        <v>49</v>
      </c>
      <c r="J1073" s="204"/>
      <c r="K1073" s="205"/>
      <c r="L1073" s="206"/>
    </row>
    <row r="1074" spans="1:12" s="187" customFormat="1" x14ac:dyDescent="0.2">
      <c r="A1074" s="111" t="str">
        <f>IF(F1074&lt;&gt;"",1+MAX($A$7:A1073),"")</f>
        <v/>
      </c>
      <c r="B1074" s="45"/>
      <c r="C1074" s="45"/>
      <c r="D1074" s="214"/>
      <c r="E1074" s="215" t="s">
        <v>50</v>
      </c>
      <c r="F1074" s="216"/>
      <c r="G1074" s="217"/>
      <c r="H1074" s="33">
        <f>ROUNDUP(H1073*24/500,0)</f>
        <v>1</v>
      </c>
      <c r="I1074" s="34" t="s">
        <v>51</v>
      </c>
      <c r="J1074" s="204"/>
      <c r="K1074" s="205"/>
      <c r="L1074" s="206"/>
    </row>
    <row r="1075" spans="1:12" s="187" customFormat="1" x14ac:dyDescent="0.2">
      <c r="A1075" s="111" t="str">
        <f>IF(F1075&lt;&gt;"",1+MAX($A$7:A1074),"")</f>
        <v/>
      </c>
      <c r="B1075" s="45"/>
      <c r="C1075" s="45"/>
      <c r="D1075" s="214"/>
      <c r="E1075" s="215" t="s">
        <v>52</v>
      </c>
      <c r="F1075" s="216"/>
      <c r="G1075" s="217"/>
      <c r="H1075" s="218">
        <f>ROUNDUP((H1072)/200,0)</f>
        <v>1</v>
      </c>
      <c r="I1075" s="34" t="s">
        <v>53</v>
      </c>
      <c r="J1075" s="204"/>
      <c r="K1075" s="205"/>
      <c r="L1075" s="206"/>
    </row>
    <row r="1076" spans="1:12" s="187" customFormat="1" x14ac:dyDescent="0.2">
      <c r="A1076" s="111" t="str">
        <f>IF(F1076&lt;&gt;"",1+MAX($A$7:A1075),"")</f>
        <v/>
      </c>
      <c r="B1076" s="45"/>
      <c r="C1076" s="45"/>
      <c r="D1076" s="214"/>
      <c r="E1076" s="215" t="s">
        <v>54</v>
      </c>
      <c r="F1076" s="216"/>
      <c r="G1076" s="217"/>
      <c r="H1076" s="218">
        <f>ROUNDUP((H1072)*5.25/1000,0)</f>
        <v>1</v>
      </c>
      <c r="I1076" s="34" t="s">
        <v>55</v>
      </c>
      <c r="J1076" s="204"/>
      <c r="K1076" s="205"/>
      <c r="L1076" s="206"/>
    </row>
    <row r="1077" spans="1:12" s="187" customFormat="1" x14ac:dyDescent="0.2">
      <c r="A1077" s="111">
        <f>IF(F1077&lt;&gt;"",1+MAX($A$7:A1076),"")</f>
        <v>377</v>
      </c>
      <c r="B1077" s="2" t="s">
        <v>112</v>
      </c>
      <c r="C1077" s="2" t="s">
        <v>111</v>
      </c>
      <c r="D1077" s="212"/>
      <c r="E1077" s="213" t="s">
        <v>108</v>
      </c>
      <c r="F1077" s="17">
        <f>8.2*9</f>
        <v>73.8</v>
      </c>
      <c r="G1077" s="127">
        <v>0.1</v>
      </c>
      <c r="H1077" s="33">
        <f>F1077*(1+G1077)</f>
        <v>81.180000000000007</v>
      </c>
      <c r="I1077" s="34" t="s">
        <v>18</v>
      </c>
      <c r="J1077" s="204">
        <f>J$160</f>
        <v>0</v>
      </c>
      <c r="K1077" s="205">
        <f>J1077*H1077</f>
        <v>0</v>
      </c>
      <c r="L1077" s="206"/>
    </row>
    <row r="1078" spans="1:12" s="187" customFormat="1" x14ac:dyDescent="0.2">
      <c r="A1078" s="111" t="str">
        <f>IF(F1078&lt;&gt;"",1+MAX($A$7:A1077),"")</f>
        <v/>
      </c>
      <c r="B1078" s="45"/>
      <c r="C1078" s="45"/>
      <c r="D1078" s="214"/>
      <c r="E1078" s="215" t="s">
        <v>48</v>
      </c>
      <c r="F1078" s="216"/>
      <c r="G1078" s="217"/>
      <c r="H1078" s="33">
        <f>ROUNDUP((H1077)/32,0)</f>
        <v>3</v>
      </c>
      <c r="I1078" s="34" t="s">
        <v>49</v>
      </c>
      <c r="J1078" s="204"/>
      <c r="K1078" s="205"/>
      <c r="L1078" s="206"/>
    </row>
    <row r="1079" spans="1:12" s="187" customFormat="1" x14ac:dyDescent="0.2">
      <c r="A1079" s="111" t="str">
        <f>IF(F1079&lt;&gt;"",1+MAX($A$7:A1078),"")</f>
        <v/>
      </c>
      <c r="B1079" s="45"/>
      <c r="C1079" s="45"/>
      <c r="D1079" s="214"/>
      <c r="E1079" s="215" t="s">
        <v>50</v>
      </c>
      <c r="F1079" s="216"/>
      <c r="G1079" s="217"/>
      <c r="H1079" s="33">
        <f>ROUNDUP(H1078*24/500,0)</f>
        <v>1</v>
      </c>
      <c r="I1079" s="34" t="s">
        <v>51</v>
      </c>
      <c r="J1079" s="204"/>
      <c r="K1079" s="205"/>
      <c r="L1079" s="206"/>
    </row>
    <row r="1080" spans="1:12" s="187" customFormat="1" x14ac:dyDescent="0.2">
      <c r="A1080" s="111" t="str">
        <f>IF(F1080&lt;&gt;"",1+MAX($A$7:A1079),"")</f>
        <v/>
      </c>
      <c r="B1080" s="45"/>
      <c r="C1080" s="45"/>
      <c r="D1080" s="214"/>
      <c r="E1080" s="215" t="s">
        <v>52</v>
      </c>
      <c r="F1080" s="216"/>
      <c r="G1080" s="217"/>
      <c r="H1080" s="218">
        <f>ROUNDUP((H1077)/200,0)</f>
        <v>1</v>
      </c>
      <c r="I1080" s="34" t="s">
        <v>53</v>
      </c>
      <c r="J1080" s="204"/>
      <c r="K1080" s="205"/>
      <c r="L1080" s="206"/>
    </row>
    <row r="1081" spans="1:12" s="187" customFormat="1" x14ac:dyDescent="0.2">
      <c r="A1081" s="111" t="str">
        <f>IF(F1081&lt;&gt;"",1+MAX($A$7:A1080),"")</f>
        <v/>
      </c>
      <c r="B1081" s="45"/>
      <c r="C1081" s="45"/>
      <c r="D1081" s="214"/>
      <c r="E1081" s="215" t="s">
        <v>54</v>
      </c>
      <c r="F1081" s="216"/>
      <c r="G1081" s="217"/>
      <c r="H1081" s="218">
        <f>ROUNDUP((H1077)*5.25/1000,0)</f>
        <v>1</v>
      </c>
      <c r="I1081" s="34" t="s">
        <v>55</v>
      </c>
      <c r="J1081" s="204"/>
      <c r="K1081" s="205"/>
      <c r="L1081" s="206"/>
    </row>
    <row r="1082" spans="1:12" s="187" customFormat="1" x14ac:dyDescent="0.2">
      <c r="A1082" s="111">
        <f>IF(F1082&lt;&gt;"",1+MAX($A$7:A1081),"")</f>
        <v>378</v>
      </c>
      <c r="B1082" s="2" t="s">
        <v>112</v>
      </c>
      <c r="C1082" s="2" t="s">
        <v>111</v>
      </c>
      <c r="D1082" s="214"/>
      <c r="E1082" s="213" t="s">
        <v>109</v>
      </c>
      <c r="F1082" s="17">
        <f>8.2*4</f>
        <v>32.799999999999997</v>
      </c>
      <c r="G1082" s="127">
        <v>0.1</v>
      </c>
      <c r="H1082" s="33">
        <f>F1082*(1+G1082)</f>
        <v>36.08</v>
      </c>
      <c r="I1082" s="34" t="s">
        <v>15</v>
      </c>
      <c r="J1082" s="204">
        <f>J$148</f>
        <v>0</v>
      </c>
      <c r="K1082" s="205">
        <f>J1082*H1082</f>
        <v>0</v>
      </c>
      <c r="L1082" s="206"/>
    </row>
    <row r="1083" spans="1:12" s="187" customFormat="1" x14ac:dyDescent="0.2">
      <c r="A1083" s="111" t="str">
        <f>IF(F1083&lt;&gt;"",1+MAX($A$7:A1082),"")</f>
        <v/>
      </c>
      <c r="B1083" s="2"/>
      <c r="C1083" s="2"/>
      <c r="D1083" s="214"/>
      <c r="E1083" s="213"/>
      <c r="F1083" s="17"/>
      <c r="G1083" s="127"/>
      <c r="H1083" s="33"/>
      <c r="I1083" s="34"/>
      <c r="J1083" s="204"/>
      <c r="K1083" s="205"/>
      <c r="L1083" s="206"/>
    </row>
    <row r="1084" spans="1:12" s="187" customFormat="1" x14ac:dyDescent="0.2">
      <c r="A1084" s="111" t="str">
        <f>IF(F1084&lt;&gt;"",1+MAX($A$7:A1083),"")</f>
        <v/>
      </c>
      <c r="B1084" s="207"/>
      <c r="C1084" s="207"/>
      <c r="D1084" s="201"/>
      <c r="E1084" s="208" t="s">
        <v>115</v>
      </c>
      <c r="F1084" s="203"/>
      <c r="G1084" s="25"/>
      <c r="H1084" s="209"/>
      <c r="I1084" s="5"/>
      <c r="J1084" s="210"/>
      <c r="K1084" s="211"/>
      <c r="L1084" s="206"/>
    </row>
    <row r="1085" spans="1:12" s="187" customFormat="1" ht="31.5" x14ac:dyDescent="0.2">
      <c r="A1085" s="111">
        <f>IF(F1085&lt;&gt;"",1+MAX($A$7:A1084),"")</f>
        <v>379</v>
      </c>
      <c r="B1085" s="2" t="s">
        <v>112</v>
      </c>
      <c r="C1085" s="2" t="s">
        <v>111</v>
      </c>
      <c r="D1085" s="212"/>
      <c r="E1085" s="213" t="s">
        <v>72</v>
      </c>
      <c r="F1085" s="17">
        <f>7.4*9*2*2</f>
        <v>266.40000000000003</v>
      </c>
      <c r="G1085" s="127">
        <v>0.1</v>
      </c>
      <c r="H1085" s="33">
        <f>F1085*(1+G1085)</f>
        <v>293.04000000000008</v>
      </c>
      <c r="I1085" s="34" t="s">
        <v>18</v>
      </c>
      <c r="J1085" s="204">
        <f>J$143</f>
        <v>0</v>
      </c>
      <c r="K1085" s="205">
        <f>J1085*H1085</f>
        <v>0</v>
      </c>
      <c r="L1085" s="206"/>
    </row>
    <row r="1086" spans="1:12" s="187" customFormat="1" x14ac:dyDescent="0.2">
      <c r="A1086" s="111" t="str">
        <f>IF(F1086&lt;&gt;"",1+MAX($A$7:A1085),"")</f>
        <v/>
      </c>
      <c r="B1086" s="45"/>
      <c r="C1086" s="45"/>
      <c r="D1086" s="214"/>
      <c r="E1086" s="215" t="s">
        <v>48</v>
      </c>
      <c r="F1086" s="216"/>
      <c r="G1086" s="217"/>
      <c r="H1086" s="33">
        <f>ROUNDUP((H1085)/32,0)</f>
        <v>10</v>
      </c>
      <c r="I1086" s="34" t="s">
        <v>49</v>
      </c>
      <c r="J1086" s="204"/>
      <c r="K1086" s="205"/>
      <c r="L1086" s="206"/>
    </row>
    <row r="1087" spans="1:12" s="187" customFormat="1" x14ac:dyDescent="0.2">
      <c r="A1087" s="111" t="str">
        <f>IF(F1087&lt;&gt;"",1+MAX($A$7:A1086),"")</f>
        <v/>
      </c>
      <c r="B1087" s="45"/>
      <c r="C1087" s="45"/>
      <c r="D1087" s="214"/>
      <c r="E1087" s="215" t="s">
        <v>50</v>
      </c>
      <c r="F1087" s="216"/>
      <c r="G1087" s="217"/>
      <c r="H1087" s="33">
        <f>ROUNDUP(H1086*24/500,0)</f>
        <v>1</v>
      </c>
      <c r="I1087" s="34" t="s">
        <v>51</v>
      </c>
      <c r="J1087" s="204"/>
      <c r="K1087" s="205"/>
      <c r="L1087" s="206"/>
    </row>
    <row r="1088" spans="1:12" s="187" customFormat="1" x14ac:dyDescent="0.2">
      <c r="A1088" s="111" t="str">
        <f>IF(F1088&lt;&gt;"",1+MAX($A$7:A1087),"")</f>
        <v/>
      </c>
      <c r="B1088" s="45"/>
      <c r="C1088" s="45"/>
      <c r="D1088" s="214"/>
      <c r="E1088" s="215" t="s">
        <v>52</v>
      </c>
      <c r="F1088" s="216"/>
      <c r="G1088" s="217"/>
      <c r="H1088" s="218">
        <f>ROUNDUP((H1085)/200,0)</f>
        <v>2</v>
      </c>
      <c r="I1088" s="34" t="s">
        <v>53</v>
      </c>
      <c r="J1088" s="204"/>
      <c r="K1088" s="205"/>
      <c r="L1088" s="206"/>
    </row>
    <row r="1089" spans="1:12" s="187" customFormat="1" x14ac:dyDescent="0.2">
      <c r="A1089" s="111" t="str">
        <f>IF(F1089&lt;&gt;"",1+MAX($A$7:A1088),"")</f>
        <v/>
      </c>
      <c r="B1089" s="45"/>
      <c r="C1089" s="45"/>
      <c r="D1089" s="214"/>
      <c r="E1089" s="215" t="s">
        <v>54</v>
      </c>
      <c r="F1089" s="216"/>
      <c r="G1089" s="217"/>
      <c r="H1089" s="218">
        <f>ROUNDUP((H1085)*5.25/1000,0)</f>
        <v>2</v>
      </c>
      <c r="I1089" s="34" t="s">
        <v>55</v>
      </c>
      <c r="J1089" s="204"/>
      <c r="K1089" s="205"/>
      <c r="L1089" s="206"/>
    </row>
    <row r="1090" spans="1:12" s="187" customFormat="1" x14ac:dyDescent="0.2">
      <c r="A1090" s="111">
        <f>IF(F1090&lt;&gt;"",1+MAX($A$7:A1089),"")</f>
        <v>380</v>
      </c>
      <c r="B1090" s="2" t="s">
        <v>112</v>
      </c>
      <c r="C1090" s="2" t="s">
        <v>111</v>
      </c>
      <c r="D1090" s="214"/>
      <c r="E1090" s="213" t="s">
        <v>109</v>
      </c>
      <c r="F1090" s="17">
        <f>7.4*4</f>
        <v>29.6</v>
      </c>
      <c r="G1090" s="127">
        <v>0.1</v>
      </c>
      <c r="H1090" s="33">
        <f>F1090*(1+G1090)</f>
        <v>32.56</v>
      </c>
      <c r="I1090" s="34" t="s">
        <v>15</v>
      </c>
      <c r="J1090" s="204">
        <f>J$148</f>
        <v>0</v>
      </c>
      <c r="K1090" s="205">
        <f>J1090*H1090</f>
        <v>0</v>
      </c>
      <c r="L1090" s="206"/>
    </row>
    <row r="1091" spans="1:12" s="187" customFormat="1" x14ac:dyDescent="0.2">
      <c r="A1091" s="111">
        <f>IF(F1091&lt;&gt;"",1+MAX($A$7:A1090),"")</f>
        <v>381</v>
      </c>
      <c r="B1091" s="2" t="s">
        <v>112</v>
      </c>
      <c r="C1091" s="2" t="s">
        <v>111</v>
      </c>
      <c r="D1091" s="212"/>
      <c r="E1091" s="213" t="s">
        <v>116</v>
      </c>
      <c r="F1091" s="17">
        <f>7.4*9</f>
        <v>66.600000000000009</v>
      </c>
      <c r="G1091" s="127">
        <v>0.1</v>
      </c>
      <c r="H1091" s="33">
        <f>F1091*(1+G1091)</f>
        <v>73.260000000000019</v>
      </c>
      <c r="I1091" s="34" t="s">
        <v>18</v>
      </c>
      <c r="J1091" s="204">
        <f>J$251</f>
        <v>0</v>
      </c>
      <c r="K1091" s="205">
        <f>J1091*H1091</f>
        <v>0</v>
      </c>
      <c r="L1091" s="206"/>
    </row>
    <row r="1092" spans="1:12" s="187" customFormat="1" x14ac:dyDescent="0.2">
      <c r="A1092" s="111" t="str">
        <f>IF(F1092&lt;&gt;"",1+MAX($A$7:A1091),"")</f>
        <v/>
      </c>
      <c r="B1092" s="2"/>
      <c r="C1092" s="2"/>
      <c r="D1092" s="214"/>
      <c r="E1092" s="213"/>
      <c r="F1092" s="17"/>
      <c r="G1092" s="127"/>
      <c r="H1092" s="33"/>
      <c r="I1092" s="34"/>
      <c r="J1092" s="204"/>
      <c r="K1092" s="205"/>
      <c r="L1092" s="206"/>
    </row>
    <row r="1093" spans="1:12" s="187" customFormat="1" x14ac:dyDescent="0.2">
      <c r="A1093" s="111" t="str">
        <f>IF(F1093&lt;&gt;"",1+MAX($A$7:A1092),"")</f>
        <v/>
      </c>
      <c r="B1093" s="207"/>
      <c r="C1093" s="207"/>
      <c r="D1093" s="201"/>
      <c r="E1093" s="208" t="s">
        <v>117</v>
      </c>
      <c r="F1093" s="203"/>
      <c r="G1093" s="25"/>
      <c r="H1093" s="209"/>
      <c r="I1093" s="5"/>
      <c r="J1093" s="210"/>
      <c r="K1093" s="211"/>
      <c r="L1093" s="206"/>
    </row>
    <row r="1094" spans="1:12" s="187" customFormat="1" ht="31.5" x14ac:dyDescent="0.2">
      <c r="A1094" s="111">
        <f>IF(F1094&lt;&gt;"",1+MAX($A$7:A1093),"")</f>
        <v>382</v>
      </c>
      <c r="B1094" s="2" t="s">
        <v>112</v>
      </c>
      <c r="C1094" s="2" t="s">
        <v>111</v>
      </c>
      <c r="D1094" s="212"/>
      <c r="E1094" s="213" t="s">
        <v>72</v>
      </c>
      <c r="F1094" s="17">
        <f>51.5*9*2*2</f>
        <v>1854</v>
      </c>
      <c r="G1094" s="127">
        <v>0.1</v>
      </c>
      <c r="H1094" s="33">
        <f>F1094*(1+G1094)</f>
        <v>2039.4</v>
      </c>
      <c r="I1094" s="34" t="s">
        <v>18</v>
      </c>
      <c r="J1094" s="204">
        <f>J$143</f>
        <v>0</v>
      </c>
      <c r="K1094" s="205">
        <f>J1094*H1094</f>
        <v>0</v>
      </c>
      <c r="L1094" s="206"/>
    </row>
    <row r="1095" spans="1:12" s="187" customFormat="1" x14ac:dyDescent="0.2">
      <c r="A1095" s="111" t="str">
        <f>IF(F1095&lt;&gt;"",1+MAX($A$7:A1094),"")</f>
        <v/>
      </c>
      <c r="B1095" s="45"/>
      <c r="C1095" s="45"/>
      <c r="D1095" s="214"/>
      <c r="E1095" s="215" t="s">
        <v>48</v>
      </c>
      <c r="F1095" s="216"/>
      <c r="G1095" s="217"/>
      <c r="H1095" s="33">
        <f>ROUNDUP((H1094)/32,0)</f>
        <v>64</v>
      </c>
      <c r="I1095" s="34" t="s">
        <v>49</v>
      </c>
      <c r="J1095" s="204"/>
      <c r="K1095" s="205"/>
      <c r="L1095" s="206"/>
    </row>
    <row r="1096" spans="1:12" s="187" customFormat="1" x14ac:dyDescent="0.2">
      <c r="A1096" s="111" t="str">
        <f>IF(F1096&lt;&gt;"",1+MAX($A$7:A1095),"")</f>
        <v/>
      </c>
      <c r="B1096" s="45"/>
      <c r="C1096" s="45"/>
      <c r="D1096" s="214"/>
      <c r="E1096" s="215" t="s">
        <v>50</v>
      </c>
      <c r="F1096" s="216"/>
      <c r="G1096" s="217"/>
      <c r="H1096" s="33">
        <f>ROUNDUP(H1095*24/500,0)</f>
        <v>4</v>
      </c>
      <c r="I1096" s="34" t="s">
        <v>51</v>
      </c>
      <c r="J1096" s="204"/>
      <c r="K1096" s="205"/>
      <c r="L1096" s="206"/>
    </row>
    <row r="1097" spans="1:12" s="187" customFormat="1" x14ac:dyDescent="0.2">
      <c r="A1097" s="111" t="str">
        <f>IF(F1097&lt;&gt;"",1+MAX($A$7:A1096),"")</f>
        <v/>
      </c>
      <c r="B1097" s="45"/>
      <c r="C1097" s="45"/>
      <c r="D1097" s="214"/>
      <c r="E1097" s="215" t="s">
        <v>52</v>
      </c>
      <c r="F1097" s="216"/>
      <c r="G1097" s="217"/>
      <c r="H1097" s="218">
        <f>ROUNDUP((H1094)/200,0)</f>
        <v>11</v>
      </c>
      <c r="I1097" s="34" t="s">
        <v>53</v>
      </c>
      <c r="J1097" s="204"/>
      <c r="K1097" s="205"/>
      <c r="L1097" s="206"/>
    </row>
    <row r="1098" spans="1:12" s="187" customFormat="1" x14ac:dyDescent="0.2">
      <c r="A1098" s="111" t="str">
        <f>IF(F1098&lt;&gt;"",1+MAX($A$7:A1097),"")</f>
        <v/>
      </c>
      <c r="B1098" s="45"/>
      <c r="C1098" s="45"/>
      <c r="D1098" s="214"/>
      <c r="E1098" s="215" t="s">
        <v>54</v>
      </c>
      <c r="F1098" s="216"/>
      <c r="G1098" s="217"/>
      <c r="H1098" s="218">
        <f>ROUNDUP((H1094)*5.25/1000,0)</f>
        <v>11</v>
      </c>
      <c r="I1098" s="34" t="s">
        <v>55</v>
      </c>
      <c r="J1098" s="204"/>
      <c r="K1098" s="205"/>
      <c r="L1098" s="206"/>
    </row>
    <row r="1099" spans="1:12" s="187" customFormat="1" x14ac:dyDescent="0.2">
      <c r="A1099" s="111">
        <f>IF(F1099&lt;&gt;"",1+MAX($A$7:A1098),"")</f>
        <v>383</v>
      </c>
      <c r="B1099" s="2" t="s">
        <v>112</v>
      </c>
      <c r="C1099" s="2" t="s">
        <v>111</v>
      </c>
      <c r="D1099" s="214"/>
      <c r="E1099" s="213" t="s">
        <v>109</v>
      </c>
      <c r="F1099" s="17">
        <f>51.5*4</f>
        <v>206</v>
      </c>
      <c r="G1099" s="127">
        <v>0.1</v>
      </c>
      <c r="H1099" s="33">
        <f>F1099*(1+G1099)</f>
        <v>226.60000000000002</v>
      </c>
      <c r="I1099" s="34" t="s">
        <v>15</v>
      </c>
      <c r="J1099" s="204">
        <f>J$148</f>
        <v>0</v>
      </c>
      <c r="K1099" s="205">
        <f>J1099*H1099</f>
        <v>0</v>
      </c>
      <c r="L1099" s="206"/>
    </row>
    <row r="1100" spans="1:12" s="187" customFormat="1" x14ac:dyDescent="0.2">
      <c r="A1100" s="111">
        <f>IF(F1100&lt;&gt;"",1+MAX($A$7:A1099),"")</f>
        <v>384</v>
      </c>
      <c r="B1100" s="2" t="s">
        <v>112</v>
      </c>
      <c r="C1100" s="2" t="s">
        <v>111</v>
      </c>
      <c r="D1100" s="212"/>
      <c r="E1100" s="213" t="s">
        <v>118</v>
      </c>
      <c r="F1100" s="17">
        <f>51.5*9</f>
        <v>463.5</v>
      </c>
      <c r="G1100" s="127">
        <v>0.1</v>
      </c>
      <c r="H1100" s="33">
        <f>F1100*(1+G1100)</f>
        <v>509.85</v>
      </c>
      <c r="I1100" s="34" t="s">
        <v>18</v>
      </c>
      <c r="J1100" s="204">
        <f>J$187</f>
        <v>0</v>
      </c>
      <c r="K1100" s="205">
        <f>J1100*H1100</f>
        <v>0</v>
      </c>
      <c r="L1100" s="206"/>
    </row>
    <row r="1101" spans="1:12" s="187" customFormat="1" x14ac:dyDescent="0.2">
      <c r="A1101" s="111" t="str">
        <f>IF(F1101&lt;&gt;"",1+MAX($A$7:A1100),"")</f>
        <v/>
      </c>
      <c r="B1101" s="2"/>
      <c r="C1101" s="2"/>
      <c r="D1101" s="214"/>
      <c r="E1101" s="213"/>
      <c r="F1101" s="17"/>
      <c r="G1101" s="127"/>
      <c r="H1101" s="33"/>
      <c r="I1101" s="34"/>
      <c r="J1101" s="204"/>
      <c r="K1101" s="205"/>
      <c r="L1101" s="206"/>
    </row>
    <row r="1102" spans="1:12" s="187" customFormat="1" x14ac:dyDescent="0.2">
      <c r="A1102" s="111" t="str">
        <f>IF(F1102&lt;&gt;"",1+MAX($A$7:A1101),"")</f>
        <v/>
      </c>
      <c r="B1102" s="207"/>
      <c r="C1102" s="207"/>
      <c r="D1102" s="201"/>
      <c r="E1102" s="208" t="s">
        <v>120</v>
      </c>
      <c r="F1102" s="203"/>
      <c r="G1102" s="25"/>
      <c r="H1102" s="209"/>
      <c r="I1102" s="5"/>
      <c r="J1102" s="210"/>
      <c r="K1102" s="211"/>
      <c r="L1102" s="206"/>
    </row>
    <row r="1103" spans="1:12" s="187" customFormat="1" ht="31.5" x14ac:dyDescent="0.2">
      <c r="A1103" s="111">
        <f>IF(F1103&lt;&gt;"",1+MAX($A$7:A1102),"")</f>
        <v>385</v>
      </c>
      <c r="B1103" s="2" t="s">
        <v>112</v>
      </c>
      <c r="C1103" s="2" t="s">
        <v>111</v>
      </c>
      <c r="D1103" s="212"/>
      <c r="E1103" s="213" t="s">
        <v>72</v>
      </c>
      <c r="F1103" s="17">
        <f>11.3*9*3</f>
        <v>305.10000000000002</v>
      </c>
      <c r="G1103" s="127">
        <v>0.1</v>
      </c>
      <c r="H1103" s="33">
        <f>F1103*(1+G1103)</f>
        <v>335.61000000000007</v>
      </c>
      <c r="I1103" s="34" t="s">
        <v>18</v>
      </c>
      <c r="J1103" s="204">
        <f>J$143</f>
        <v>0</v>
      </c>
      <c r="K1103" s="205">
        <f>J1103*H1103</f>
        <v>0</v>
      </c>
      <c r="L1103" s="206"/>
    </row>
    <row r="1104" spans="1:12" s="187" customFormat="1" x14ac:dyDescent="0.2">
      <c r="A1104" s="111" t="str">
        <f>IF(F1104&lt;&gt;"",1+MAX($A$7:A1103),"")</f>
        <v/>
      </c>
      <c r="B1104" s="45"/>
      <c r="C1104" s="45"/>
      <c r="D1104" s="214"/>
      <c r="E1104" s="215" t="s">
        <v>48</v>
      </c>
      <c r="F1104" s="216"/>
      <c r="G1104" s="217"/>
      <c r="H1104" s="33">
        <f>ROUNDUP((H1103)/32,0)</f>
        <v>11</v>
      </c>
      <c r="I1104" s="34" t="s">
        <v>49</v>
      </c>
      <c r="J1104" s="204"/>
      <c r="K1104" s="205"/>
      <c r="L1104" s="206"/>
    </row>
    <row r="1105" spans="1:12" s="187" customFormat="1" x14ac:dyDescent="0.2">
      <c r="A1105" s="111" t="str">
        <f>IF(F1105&lt;&gt;"",1+MAX($A$7:A1104),"")</f>
        <v/>
      </c>
      <c r="B1105" s="45"/>
      <c r="C1105" s="45"/>
      <c r="D1105" s="214"/>
      <c r="E1105" s="215" t="s">
        <v>50</v>
      </c>
      <c r="F1105" s="216"/>
      <c r="G1105" s="217"/>
      <c r="H1105" s="33">
        <f>ROUNDUP(H1104*24/500,0)</f>
        <v>1</v>
      </c>
      <c r="I1105" s="34" t="s">
        <v>51</v>
      </c>
      <c r="J1105" s="204"/>
      <c r="K1105" s="205"/>
      <c r="L1105" s="206"/>
    </row>
    <row r="1106" spans="1:12" s="187" customFormat="1" x14ac:dyDescent="0.2">
      <c r="A1106" s="111" t="str">
        <f>IF(F1106&lt;&gt;"",1+MAX($A$7:A1105),"")</f>
        <v/>
      </c>
      <c r="B1106" s="45"/>
      <c r="C1106" s="45"/>
      <c r="D1106" s="214"/>
      <c r="E1106" s="215" t="s">
        <v>52</v>
      </c>
      <c r="F1106" s="216"/>
      <c r="G1106" s="217"/>
      <c r="H1106" s="218">
        <f>ROUNDUP((H1103)/200,0)</f>
        <v>2</v>
      </c>
      <c r="I1106" s="34" t="s">
        <v>53</v>
      </c>
      <c r="J1106" s="204"/>
      <c r="K1106" s="205"/>
      <c r="L1106" s="206"/>
    </row>
    <row r="1107" spans="1:12" s="187" customFormat="1" x14ac:dyDescent="0.2">
      <c r="A1107" s="111" t="str">
        <f>IF(F1107&lt;&gt;"",1+MAX($A$7:A1106),"")</f>
        <v/>
      </c>
      <c r="B1107" s="45"/>
      <c r="C1107" s="45"/>
      <c r="D1107" s="214"/>
      <c r="E1107" s="215" t="s">
        <v>54</v>
      </c>
      <c r="F1107" s="216"/>
      <c r="G1107" s="217"/>
      <c r="H1107" s="218">
        <f>ROUNDUP((H1103)*5.25/1000,0)</f>
        <v>2</v>
      </c>
      <c r="I1107" s="34" t="s">
        <v>55</v>
      </c>
      <c r="J1107" s="204"/>
      <c r="K1107" s="205"/>
      <c r="L1107" s="206"/>
    </row>
    <row r="1108" spans="1:12" s="187" customFormat="1" x14ac:dyDescent="0.2">
      <c r="A1108" s="111">
        <f>IF(F1108&lt;&gt;"",1+MAX($A$7:A1107),"")</f>
        <v>386</v>
      </c>
      <c r="B1108" s="2" t="s">
        <v>112</v>
      </c>
      <c r="C1108" s="2" t="s">
        <v>111</v>
      </c>
      <c r="D1108" s="212"/>
      <c r="E1108" s="213" t="s">
        <v>108</v>
      </c>
      <c r="F1108" s="17">
        <f>11.3*9</f>
        <v>101.7</v>
      </c>
      <c r="G1108" s="127">
        <v>0.1</v>
      </c>
      <c r="H1108" s="33">
        <f>F1108*(1+G1108)</f>
        <v>111.87000000000002</v>
      </c>
      <c r="I1108" s="34" t="s">
        <v>18</v>
      </c>
      <c r="J1108" s="204">
        <f>J$160</f>
        <v>0</v>
      </c>
      <c r="K1108" s="205">
        <f>J1108*H1108</f>
        <v>0</v>
      </c>
      <c r="L1108" s="206"/>
    </row>
    <row r="1109" spans="1:12" s="187" customFormat="1" x14ac:dyDescent="0.2">
      <c r="A1109" s="111" t="str">
        <f>IF(F1109&lt;&gt;"",1+MAX($A$7:A1108),"")</f>
        <v/>
      </c>
      <c r="B1109" s="45"/>
      <c r="C1109" s="45"/>
      <c r="D1109" s="214"/>
      <c r="E1109" s="215" t="s">
        <v>48</v>
      </c>
      <c r="F1109" s="216"/>
      <c r="G1109" s="217"/>
      <c r="H1109" s="33">
        <f>ROUNDUP((H1108)/32,0)</f>
        <v>4</v>
      </c>
      <c r="I1109" s="34" t="s">
        <v>49</v>
      </c>
      <c r="J1109" s="204"/>
      <c r="K1109" s="205"/>
      <c r="L1109" s="206"/>
    </row>
    <row r="1110" spans="1:12" s="187" customFormat="1" x14ac:dyDescent="0.2">
      <c r="A1110" s="111" t="str">
        <f>IF(F1110&lt;&gt;"",1+MAX($A$7:A1109),"")</f>
        <v/>
      </c>
      <c r="B1110" s="45"/>
      <c r="C1110" s="45"/>
      <c r="D1110" s="214"/>
      <c r="E1110" s="215" t="s">
        <v>50</v>
      </c>
      <c r="F1110" s="216"/>
      <c r="G1110" s="217"/>
      <c r="H1110" s="33">
        <f>ROUNDUP(H1109*24/500,0)</f>
        <v>1</v>
      </c>
      <c r="I1110" s="34" t="s">
        <v>51</v>
      </c>
      <c r="J1110" s="204"/>
      <c r="K1110" s="205"/>
      <c r="L1110" s="206"/>
    </row>
    <row r="1111" spans="1:12" s="187" customFormat="1" x14ac:dyDescent="0.2">
      <c r="A1111" s="111" t="str">
        <f>IF(F1111&lt;&gt;"",1+MAX($A$7:A1110),"")</f>
        <v/>
      </c>
      <c r="B1111" s="45"/>
      <c r="C1111" s="45"/>
      <c r="D1111" s="214"/>
      <c r="E1111" s="215" t="s">
        <v>52</v>
      </c>
      <c r="F1111" s="216"/>
      <c r="G1111" s="217"/>
      <c r="H1111" s="218">
        <f>ROUNDUP((H1108)/200,0)</f>
        <v>1</v>
      </c>
      <c r="I1111" s="34" t="s">
        <v>53</v>
      </c>
      <c r="J1111" s="204"/>
      <c r="K1111" s="205"/>
      <c r="L1111" s="206"/>
    </row>
    <row r="1112" spans="1:12" s="187" customFormat="1" x14ac:dyDescent="0.2">
      <c r="A1112" s="111" t="str">
        <f>IF(F1112&lt;&gt;"",1+MAX($A$7:A1111),"")</f>
        <v/>
      </c>
      <c r="B1112" s="45"/>
      <c r="C1112" s="45"/>
      <c r="D1112" s="214"/>
      <c r="E1112" s="215" t="s">
        <v>54</v>
      </c>
      <c r="F1112" s="216"/>
      <c r="G1112" s="217"/>
      <c r="H1112" s="218">
        <f>ROUNDUP((H1108)*5.25/1000,0)</f>
        <v>1</v>
      </c>
      <c r="I1112" s="34" t="s">
        <v>55</v>
      </c>
      <c r="J1112" s="204"/>
      <c r="K1112" s="205"/>
      <c r="L1112" s="206"/>
    </row>
    <row r="1113" spans="1:12" s="187" customFormat="1" x14ac:dyDescent="0.2">
      <c r="A1113" s="111">
        <f>IF(F1113&lt;&gt;"",1+MAX($A$7:A1112),"")</f>
        <v>387</v>
      </c>
      <c r="B1113" s="2" t="s">
        <v>112</v>
      </c>
      <c r="C1113" s="2" t="s">
        <v>111</v>
      </c>
      <c r="D1113" s="214"/>
      <c r="E1113" s="213" t="s">
        <v>109</v>
      </c>
      <c r="F1113" s="17">
        <f>11.3*4</f>
        <v>45.2</v>
      </c>
      <c r="G1113" s="127">
        <v>0.1</v>
      </c>
      <c r="H1113" s="33">
        <f>F1113*(1+G1113)</f>
        <v>49.720000000000006</v>
      </c>
      <c r="I1113" s="34" t="s">
        <v>15</v>
      </c>
      <c r="J1113" s="204">
        <f>J$148</f>
        <v>0</v>
      </c>
      <c r="K1113" s="205">
        <f>J1113*H1113</f>
        <v>0</v>
      </c>
      <c r="L1113" s="206"/>
    </row>
    <row r="1114" spans="1:12" s="187" customFormat="1" x14ac:dyDescent="0.2">
      <c r="A1114" s="111">
        <f>IF(F1114&lt;&gt;"",1+MAX($A$7:A1113),"")</f>
        <v>388</v>
      </c>
      <c r="B1114" s="2" t="s">
        <v>112</v>
      </c>
      <c r="C1114" s="2" t="s">
        <v>111</v>
      </c>
      <c r="D1114" s="212"/>
      <c r="E1114" s="213" t="s">
        <v>119</v>
      </c>
      <c r="F1114" s="17">
        <f>11.3*9</f>
        <v>101.7</v>
      </c>
      <c r="G1114" s="127">
        <v>0.1</v>
      </c>
      <c r="H1114" s="33">
        <f>F1114*(1+G1114)</f>
        <v>111.87000000000002</v>
      </c>
      <c r="I1114" s="34" t="s">
        <v>18</v>
      </c>
      <c r="J1114" s="204">
        <f>J$226</f>
        <v>0</v>
      </c>
      <c r="K1114" s="205">
        <f>J1114*H1114</f>
        <v>0</v>
      </c>
      <c r="L1114" s="206"/>
    </row>
    <row r="1115" spans="1:12" s="187" customFormat="1" x14ac:dyDescent="0.2">
      <c r="A1115" s="111" t="str">
        <f>IF(F1115&lt;&gt;"",1+MAX($A$7:A1114),"")</f>
        <v/>
      </c>
      <c r="B1115" s="2"/>
      <c r="C1115" s="2"/>
      <c r="D1115" s="214"/>
      <c r="E1115" s="213"/>
      <c r="F1115" s="17"/>
      <c r="G1115" s="127"/>
      <c r="H1115" s="33"/>
      <c r="I1115" s="34"/>
      <c r="J1115" s="204"/>
      <c r="K1115" s="205"/>
      <c r="L1115" s="206"/>
    </row>
    <row r="1116" spans="1:12" s="187" customFormat="1" x14ac:dyDescent="0.2">
      <c r="A1116" s="111" t="str">
        <f>IF(F1116&lt;&gt;"",1+MAX($A$7:A1115),"")</f>
        <v/>
      </c>
      <c r="B1116" s="207"/>
      <c r="C1116" s="207"/>
      <c r="D1116" s="201"/>
      <c r="E1116" s="208" t="s">
        <v>121</v>
      </c>
      <c r="F1116" s="203"/>
      <c r="G1116" s="25"/>
      <c r="H1116" s="209"/>
      <c r="I1116" s="5"/>
      <c r="J1116" s="210"/>
      <c r="K1116" s="211"/>
      <c r="L1116" s="206"/>
    </row>
    <row r="1117" spans="1:12" s="187" customFormat="1" x14ac:dyDescent="0.2">
      <c r="A1117" s="111">
        <f>IF(F1117&lt;&gt;"",1+MAX($A$7:A1116),"")</f>
        <v>389</v>
      </c>
      <c r="B1117" s="2" t="s">
        <v>112</v>
      </c>
      <c r="C1117" s="2" t="s">
        <v>111</v>
      </c>
      <c r="D1117" s="212"/>
      <c r="E1117" s="213" t="s">
        <v>140</v>
      </c>
      <c r="F1117" s="17">
        <f>10.1*9*2*2</f>
        <v>363.59999999999997</v>
      </c>
      <c r="G1117" s="127">
        <v>0.1</v>
      </c>
      <c r="H1117" s="33">
        <f>F1117*(1+G1117)</f>
        <v>399.96</v>
      </c>
      <c r="I1117" s="34" t="s">
        <v>18</v>
      </c>
      <c r="J1117" s="204">
        <f>J$143</f>
        <v>0</v>
      </c>
      <c r="K1117" s="205">
        <f>J1117*H1117</f>
        <v>0</v>
      </c>
      <c r="L1117" s="206"/>
    </row>
    <row r="1118" spans="1:12" s="187" customFormat="1" x14ac:dyDescent="0.2">
      <c r="A1118" s="111" t="str">
        <f>IF(F1118&lt;&gt;"",1+MAX($A$7:A1117),"")</f>
        <v/>
      </c>
      <c r="B1118" s="45"/>
      <c r="C1118" s="45"/>
      <c r="D1118" s="214"/>
      <c r="E1118" s="215" t="s">
        <v>48</v>
      </c>
      <c r="F1118" s="216"/>
      <c r="G1118" s="217"/>
      <c r="H1118" s="33">
        <f>ROUNDUP((H1117)/32,0)</f>
        <v>13</v>
      </c>
      <c r="I1118" s="34" t="s">
        <v>49</v>
      </c>
      <c r="J1118" s="204"/>
      <c r="K1118" s="205"/>
      <c r="L1118" s="206"/>
    </row>
    <row r="1119" spans="1:12" s="187" customFormat="1" x14ac:dyDescent="0.2">
      <c r="A1119" s="111" t="str">
        <f>IF(F1119&lt;&gt;"",1+MAX($A$7:A1118),"")</f>
        <v/>
      </c>
      <c r="B1119" s="45"/>
      <c r="C1119" s="45"/>
      <c r="D1119" s="214"/>
      <c r="E1119" s="215" t="s">
        <v>50</v>
      </c>
      <c r="F1119" s="216"/>
      <c r="G1119" s="217"/>
      <c r="H1119" s="33">
        <f>ROUNDUP(H1118*24/500,0)</f>
        <v>1</v>
      </c>
      <c r="I1119" s="34" t="s">
        <v>51</v>
      </c>
      <c r="J1119" s="204"/>
      <c r="K1119" s="205"/>
      <c r="L1119" s="206"/>
    </row>
    <row r="1120" spans="1:12" s="187" customFormat="1" x14ac:dyDescent="0.2">
      <c r="A1120" s="111" t="str">
        <f>IF(F1120&lt;&gt;"",1+MAX($A$7:A1119),"")</f>
        <v/>
      </c>
      <c r="B1120" s="45"/>
      <c r="C1120" s="45"/>
      <c r="D1120" s="214"/>
      <c r="E1120" s="215" t="s">
        <v>52</v>
      </c>
      <c r="F1120" s="216"/>
      <c r="G1120" s="217"/>
      <c r="H1120" s="218">
        <f>ROUNDUP((H1117)/200,0)</f>
        <v>2</v>
      </c>
      <c r="I1120" s="34" t="s">
        <v>53</v>
      </c>
      <c r="J1120" s="204"/>
      <c r="K1120" s="205"/>
      <c r="L1120" s="206"/>
    </row>
    <row r="1121" spans="1:12" s="187" customFormat="1" x14ac:dyDescent="0.2">
      <c r="A1121" s="111" t="str">
        <f>IF(F1121&lt;&gt;"",1+MAX($A$7:A1120),"")</f>
        <v/>
      </c>
      <c r="B1121" s="45"/>
      <c r="C1121" s="45"/>
      <c r="D1121" s="214"/>
      <c r="E1121" s="215" t="s">
        <v>54</v>
      </c>
      <c r="F1121" s="216"/>
      <c r="G1121" s="217"/>
      <c r="H1121" s="218">
        <f>ROUNDUP((H1117)*5.25/1000,0)</f>
        <v>3</v>
      </c>
      <c r="I1121" s="34" t="s">
        <v>55</v>
      </c>
      <c r="J1121" s="204"/>
      <c r="K1121" s="205"/>
      <c r="L1121" s="206"/>
    </row>
    <row r="1122" spans="1:12" s="187" customFormat="1" x14ac:dyDescent="0.2">
      <c r="A1122" s="111">
        <f>IF(F1122&lt;&gt;"",1+MAX($A$7:A1121),"")</f>
        <v>390</v>
      </c>
      <c r="B1122" s="2" t="s">
        <v>112</v>
      </c>
      <c r="C1122" s="2" t="s">
        <v>111</v>
      </c>
      <c r="D1122" s="214"/>
      <c r="E1122" s="213" t="s">
        <v>109</v>
      </c>
      <c r="F1122" s="17">
        <f>10.1*4</f>
        <v>40.4</v>
      </c>
      <c r="G1122" s="127">
        <v>0.1</v>
      </c>
      <c r="H1122" s="33">
        <f>F1122*(1+G1122)</f>
        <v>44.440000000000005</v>
      </c>
      <c r="I1122" s="34" t="s">
        <v>15</v>
      </c>
      <c r="J1122" s="204">
        <f>J$148</f>
        <v>0</v>
      </c>
      <c r="K1122" s="205">
        <f>J1122*H1122</f>
        <v>0</v>
      </c>
      <c r="L1122" s="206"/>
    </row>
    <row r="1123" spans="1:12" s="187" customFormat="1" x14ac:dyDescent="0.2">
      <c r="A1123" s="111">
        <f>IF(F1123&lt;&gt;"",1+MAX($A$7:A1122),"")</f>
        <v>391</v>
      </c>
      <c r="B1123" s="2" t="s">
        <v>112</v>
      </c>
      <c r="C1123" s="2" t="s">
        <v>111</v>
      </c>
      <c r="D1123" s="212"/>
      <c r="E1123" s="213" t="s">
        <v>484</v>
      </c>
      <c r="F1123" s="17">
        <f>10.1*9</f>
        <v>90.899999999999991</v>
      </c>
      <c r="G1123" s="127">
        <v>0.1</v>
      </c>
      <c r="H1123" s="33">
        <f>F1123*(1+G1123)</f>
        <v>99.99</v>
      </c>
      <c r="I1123" s="34" t="s">
        <v>18</v>
      </c>
      <c r="J1123" s="204">
        <f>J$276</f>
        <v>0</v>
      </c>
      <c r="K1123" s="205">
        <f>J1123*H1123</f>
        <v>0</v>
      </c>
      <c r="L1123" s="206"/>
    </row>
    <row r="1124" spans="1:12" s="187" customFormat="1" x14ac:dyDescent="0.2">
      <c r="A1124" s="111">
        <f>IF(F1124&lt;&gt;"",1+MAX($A$7:A1123),"")</f>
        <v>392</v>
      </c>
      <c r="B1124" s="2" t="s">
        <v>112</v>
      </c>
      <c r="C1124" s="2" t="s">
        <v>111</v>
      </c>
      <c r="D1124" s="212"/>
      <c r="E1124" s="213" t="s">
        <v>141</v>
      </c>
      <c r="F1124" s="17">
        <f>10.1*9</f>
        <v>90.899999999999991</v>
      </c>
      <c r="G1124" s="127">
        <v>0.1</v>
      </c>
      <c r="H1124" s="33">
        <f>F1124*(1+G1124)</f>
        <v>99.99</v>
      </c>
      <c r="I1124" s="34" t="s">
        <v>18</v>
      </c>
      <c r="J1124" s="204">
        <f>J$442</f>
        <v>0</v>
      </c>
      <c r="K1124" s="205">
        <f>J1124*H1124</f>
        <v>0</v>
      </c>
      <c r="L1124" s="206"/>
    </row>
    <row r="1125" spans="1:12" s="187" customFormat="1" x14ac:dyDescent="0.2">
      <c r="A1125" s="111" t="str">
        <f>IF(F1125&lt;&gt;"",1+MAX($A$7:A1124),"")</f>
        <v/>
      </c>
      <c r="B1125" s="2"/>
      <c r="C1125" s="2"/>
      <c r="D1125" s="214"/>
      <c r="E1125" s="213"/>
      <c r="F1125" s="17"/>
      <c r="G1125" s="127"/>
      <c r="H1125" s="33"/>
      <c r="I1125" s="34"/>
      <c r="J1125" s="204"/>
      <c r="K1125" s="205"/>
      <c r="L1125" s="206"/>
    </row>
    <row r="1126" spans="1:12" s="187" customFormat="1" x14ac:dyDescent="0.2">
      <c r="A1126" s="111" t="str">
        <f>IF(F1126&lt;&gt;"",1+MAX($A$7:A1125),"")</f>
        <v/>
      </c>
      <c r="B1126" s="207"/>
      <c r="C1126" s="207"/>
      <c r="D1126" s="201"/>
      <c r="E1126" s="208" t="s">
        <v>199</v>
      </c>
      <c r="F1126" s="203"/>
      <c r="G1126" s="25"/>
      <c r="H1126" s="209"/>
      <c r="I1126" s="5"/>
      <c r="J1126" s="210"/>
      <c r="K1126" s="211"/>
      <c r="L1126" s="206"/>
    </row>
    <row r="1127" spans="1:12" s="187" customFormat="1" x14ac:dyDescent="0.2">
      <c r="A1127" s="111">
        <f>IF(F1127&lt;&gt;"",1+MAX($A$7:A1126),"")</f>
        <v>393</v>
      </c>
      <c r="B1127" s="2" t="s">
        <v>112</v>
      </c>
      <c r="C1127" s="2" t="s">
        <v>111</v>
      </c>
      <c r="D1127" s="212"/>
      <c r="E1127" s="213" t="s">
        <v>107</v>
      </c>
      <c r="F1127" s="17">
        <f>154.9*9*2+53.5*9+26*9*2</f>
        <v>3737.7000000000003</v>
      </c>
      <c r="G1127" s="127">
        <v>0.1</v>
      </c>
      <c r="H1127" s="33">
        <f>F1127*(1+G1127)</f>
        <v>4111.47</v>
      </c>
      <c r="I1127" s="34" t="s">
        <v>18</v>
      </c>
      <c r="J1127" s="204">
        <f>J$143</f>
        <v>0</v>
      </c>
      <c r="K1127" s="205">
        <f>J1127*H1127</f>
        <v>0</v>
      </c>
      <c r="L1127" s="206"/>
    </row>
    <row r="1128" spans="1:12" s="187" customFormat="1" x14ac:dyDescent="0.2">
      <c r="A1128" s="111" t="str">
        <f>IF(F1128&lt;&gt;"",1+MAX($A$7:A1127),"")</f>
        <v/>
      </c>
      <c r="B1128" s="45"/>
      <c r="C1128" s="45"/>
      <c r="D1128" s="214"/>
      <c r="E1128" s="215" t="s">
        <v>48</v>
      </c>
      <c r="F1128" s="216"/>
      <c r="G1128" s="217"/>
      <c r="H1128" s="33">
        <f>ROUNDUP((H1127)/32,0)</f>
        <v>129</v>
      </c>
      <c r="I1128" s="34" t="s">
        <v>49</v>
      </c>
      <c r="J1128" s="204"/>
      <c r="K1128" s="205"/>
      <c r="L1128" s="206"/>
    </row>
    <row r="1129" spans="1:12" s="187" customFormat="1" x14ac:dyDescent="0.2">
      <c r="A1129" s="111" t="str">
        <f>IF(F1129&lt;&gt;"",1+MAX($A$7:A1128),"")</f>
        <v/>
      </c>
      <c r="B1129" s="45"/>
      <c r="C1129" s="45"/>
      <c r="D1129" s="214"/>
      <c r="E1129" s="215" t="s">
        <v>50</v>
      </c>
      <c r="F1129" s="216"/>
      <c r="G1129" s="217"/>
      <c r="H1129" s="33">
        <f>ROUNDUP(H1128*24/500,0)</f>
        <v>7</v>
      </c>
      <c r="I1129" s="34" t="s">
        <v>51</v>
      </c>
      <c r="J1129" s="204"/>
      <c r="K1129" s="205"/>
      <c r="L1129" s="206"/>
    </row>
    <row r="1130" spans="1:12" s="187" customFormat="1" x14ac:dyDescent="0.2">
      <c r="A1130" s="111" t="str">
        <f>IF(F1130&lt;&gt;"",1+MAX($A$7:A1129),"")</f>
        <v/>
      </c>
      <c r="B1130" s="45"/>
      <c r="C1130" s="45"/>
      <c r="D1130" s="214"/>
      <c r="E1130" s="215" t="s">
        <v>52</v>
      </c>
      <c r="F1130" s="216"/>
      <c r="G1130" s="217"/>
      <c r="H1130" s="218">
        <f>ROUNDUP((H1127)/200,0)</f>
        <v>21</v>
      </c>
      <c r="I1130" s="34" t="s">
        <v>53</v>
      </c>
      <c r="J1130" s="204"/>
      <c r="K1130" s="205"/>
      <c r="L1130" s="206"/>
    </row>
    <row r="1131" spans="1:12" s="187" customFormat="1" x14ac:dyDescent="0.2">
      <c r="A1131" s="111" t="str">
        <f>IF(F1131&lt;&gt;"",1+MAX($A$7:A1130),"")</f>
        <v/>
      </c>
      <c r="B1131" s="45"/>
      <c r="C1131" s="45"/>
      <c r="D1131" s="214"/>
      <c r="E1131" s="215" t="s">
        <v>54</v>
      </c>
      <c r="F1131" s="216"/>
      <c r="G1131" s="217"/>
      <c r="H1131" s="218">
        <f>ROUNDUP((H1127)*5.25/1000,0)</f>
        <v>22</v>
      </c>
      <c r="I1131" s="34" t="s">
        <v>55</v>
      </c>
      <c r="J1131" s="204"/>
      <c r="K1131" s="205"/>
      <c r="L1131" s="206"/>
    </row>
    <row r="1132" spans="1:12" s="187" customFormat="1" x14ac:dyDescent="0.2">
      <c r="A1132" s="111">
        <f>IF(F1132&lt;&gt;"",1+MAX($A$7:A1131),"")</f>
        <v>394</v>
      </c>
      <c r="B1132" s="2" t="s">
        <v>112</v>
      </c>
      <c r="C1132" s="2" t="s">
        <v>111</v>
      </c>
      <c r="D1132" s="212"/>
      <c r="E1132" s="213" t="s">
        <v>108</v>
      </c>
      <c r="F1132" s="17">
        <f>53.5*9</f>
        <v>481.5</v>
      </c>
      <c r="G1132" s="127">
        <v>0.1</v>
      </c>
      <c r="H1132" s="33">
        <f>F1132*(1+G1132)</f>
        <v>529.65000000000009</v>
      </c>
      <c r="I1132" s="34" t="s">
        <v>18</v>
      </c>
      <c r="J1132" s="204">
        <f>J$160</f>
        <v>0</v>
      </c>
      <c r="K1132" s="205">
        <f>J1132*H1132</f>
        <v>0</v>
      </c>
      <c r="L1132" s="206"/>
    </row>
    <row r="1133" spans="1:12" s="187" customFormat="1" x14ac:dyDescent="0.2">
      <c r="A1133" s="111" t="str">
        <f>IF(F1133&lt;&gt;"",1+MAX($A$7:A1132),"")</f>
        <v/>
      </c>
      <c r="B1133" s="45"/>
      <c r="C1133" s="45"/>
      <c r="D1133" s="214"/>
      <c r="E1133" s="215" t="s">
        <v>48</v>
      </c>
      <c r="F1133" s="216"/>
      <c r="G1133" s="217"/>
      <c r="H1133" s="33">
        <f>ROUNDUP((H1132)/32,0)</f>
        <v>17</v>
      </c>
      <c r="I1133" s="34" t="s">
        <v>49</v>
      </c>
      <c r="J1133" s="204"/>
      <c r="K1133" s="205"/>
      <c r="L1133" s="206"/>
    </row>
    <row r="1134" spans="1:12" s="187" customFormat="1" x14ac:dyDescent="0.2">
      <c r="A1134" s="111" t="str">
        <f>IF(F1134&lt;&gt;"",1+MAX($A$7:A1133),"")</f>
        <v/>
      </c>
      <c r="B1134" s="45"/>
      <c r="C1134" s="45"/>
      <c r="D1134" s="214"/>
      <c r="E1134" s="215" t="s">
        <v>50</v>
      </c>
      <c r="F1134" s="216"/>
      <c r="G1134" s="217"/>
      <c r="H1134" s="33">
        <f>ROUNDUP(H1133*24/500,0)</f>
        <v>1</v>
      </c>
      <c r="I1134" s="34" t="s">
        <v>51</v>
      </c>
      <c r="J1134" s="204"/>
      <c r="K1134" s="205"/>
      <c r="L1134" s="206"/>
    </row>
    <row r="1135" spans="1:12" s="187" customFormat="1" x14ac:dyDescent="0.2">
      <c r="A1135" s="111" t="str">
        <f>IF(F1135&lt;&gt;"",1+MAX($A$7:A1134),"")</f>
        <v/>
      </c>
      <c r="B1135" s="45"/>
      <c r="C1135" s="45"/>
      <c r="D1135" s="214"/>
      <c r="E1135" s="215" t="s">
        <v>52</v>
      </c>
      <c r="F1135" s="216"/>
      <c r="G1135" s="217"/>
      <c r="H1135" s="218">
        <f>ROUNDUP((H1132)/200,0)</f>
        <v>3</v>
      </c>
      <c r="I1135" s="34" t="s">
        <v>53</v>
      </c>
      <c r="J1135" s="204"/>
      <c r="K1135" s="205"/>
      <c r="L1135" s="206"/>
    </row>
    <row r="1136" spans="1:12" s="187" customFormat="1" x14ac:dyDescent="0.2">
      <c r="A1136" s="111" t="str">
        <f>IF(F1136&lt;&gt;"",1+MAX($A$7:A1135),"")</f>
        <v/>
      </c>
      <c r="B1136" s="45"/>
      <c r="C1136" s="45"/>
      <c r="D1136" s="214"/>
      <c r="E1136" s="215" t="s">
        <v>54</v>
      </c>
      <c r="F1136" s="216"/>
      <c r="G1136" s="217"/>
      <c r="H1136" s="218">
        <f>ROUNDUP((H1132)*5.25/1000,0)</f>
        <v>3</v>
      </c>
      <c r="I1136" s="34" t="s">
        <v>55</v>
      </c>
      <c r="J1136" s="204"/>
      <c r="K1136" s="205"/>
      <c r="L1136" s="206"/>
    </row>
    <row r="1137" spans="1:12" s="187" customFormat="1" x14ac:dyDescent="0.2">
      <c r="A1137" s="111">
        <f>IF(F1137&lt;&gt;"",1+MAX($A$7:A1136),"")</f>
        <v>395</v>
      </c>
      <c r="B1137" s="2" t="s">
        <v>112</v>
      </c>
      <c r="C1137" s="2" t="s">
        <v>111</v>
      </c>
      <c r="D1137" s="214"/>
      <c r="E1137" s="213" t="s">
        <v>109</v>
      </c>
      <c r="F1137" s="17">
        <f>(208.4+26)*4</f>
        <v>937.6</v>
      </c>
      <c r="G1137" s="127">
        <v>0.1</v>
      </c>
      <c r="H1137" s="33">
        <f>F1137*(1+G1137)</f>
        <v>1031.3600000000001</v>
      </c>
      <c r="I1137" s="34" t="s">
        <v>15</v>
      </c>
      <c r="J1137" s="204">
        <f>J$148</f>
        <v>0</v>
      </c>
      <c r="K1137" s="205">
        <f>J1137*H1137</f>
        <v>0</v>
      </c>
      <c r="L1137" s="206"/>
    </row>
    <row r="1138" spans="1:12" s="187" customFormat="1" x14ac:dyDescent="0.2">
      <c r="A1138" s="111">
        <f>IF(F1138&lt;&gt;"",1+MAX($A$7:A1137),"")</f>
        <v>396</v>
      </c>
      <c r="B1138" s="2" t="s">
        <v>112</v>
      </c>
      <c r="C1138" s="2" t="s">
        <v>111</v>
      </c>
      <c r="D1138" s="212"/>
      <c r="E1138" s="213" t="s">
        <v>118</v>
      </c>
      <c r="F1138" s="17">
        <f>(208.4+26)*9</f>
        <v>2109.6</v>
      </c>
      <c r="G1138" s="127">
        <v>0.1</v>
      </c>
      <c r="H1138" s="33">
        <f>F1138*(1+G1138)</f>
        <v>2320.56</v>
      </c>
      <c r="I1138" s="34" t="s">
        <v>18</v>
      </c>
      <c r="J1138" s="204">
        <f>J$187</f>
        <v>0</v>
      </c>
      <c r="K1138" s="205">
        <f>J1138*H1138</f>
        <v>0</v>
      </c>
      <c r="L1138" s="206"/>
    </row>
    <row r="1139" spans="1:12" s="187" customFormat="1" x14ac:dyDescent="0.2">
      <c r="A1139" s="111">
        <f>IF(F1139&lt;&gt;"",1+MAX($A$7:A1138),"")</f>
        <v>397</v>
      </c>
      <c r="B1139" s="2" t="s">
        <v>112</v>
      </c>
      <c r="C1139" s="2" t="s">
        <v>111</v>
      </c>
      <c r="D1139" s="212"/>
      <c r="E1139" s="213" t="s">
        <v>123</v>
      </c>
      <c r="F1139" s="17">
        <f>(208.4+26)*9</f>
        <v>2109.6</v>
      </c>
      <c r="G1139" s="127">
        <v>0.1</v>
      </c>
      <c r="H1139" s="33">
        <f>F1139*(1+G1139)</f>
        <v>2320.56</v>
      </c>
      <c r="I1139" s="34" t="s">
        <v>18</v>
      </c>
      <c r="J1139" s="204">
        <f>J$202</f>
        <v>0</v>
      </c>
      <c r="K1139" s="205">
        <f>J1139*H1139</f>
        <v>0</v>
      </c>
      <c r="L1139" s="206"/>
    </row>
    <row r="1140" spans="1:12" s="187" customFormat="1" x14ac:dyDescent="0.2">
      <c r="A1140" s="111" t="str">
        <f>IF(F1140&lt;&gt;"",1+MAX($A$7:A1139),"")</f>
        <v/>
      </c>
      <c r="B1140" s="2"/>
      <c r="C1140" s="2"/>
      <c r="D1140" s="214"/>
      <c r="E1140" s="213"/>
      <c r="F1140" s="17"/>
      <c r="G1140" s="127"/>
      <c r="H1140" s="33"/>
      <c r="I1140" s="34"/>
      <c r="J1140" s="204"/>
      <c r="K1140" s="205"/>
      <c r="L1140" s="206"/>
    </row>
    <row r="1141" spans="1:12" s="187" customFormat="1" x14ac:dyDescent="0.2">
      <c r="A1141" s="111" t="str">
        <f>IF(F1141&lt;&gt;"",1+MAX($A$7:A1140),"")</f>
        <v/>
      </c>
      <c r="B1141" s="207"/>
      <c r="C1141" s="207"/>
      <c r="D1141" s="201"/>
      <c r="E1141" s="208" t="s">
        <v>200</v>
      </c>
      <c r="F1141" s="203"/>
      <c r="G1141" s="25"/>
      <c r="H1141" s="209"/>
      <c r="I1141" s="5"/>
      <c r="J1141" s="210"/>
      <c r="K1141" s="211"/>
      <c r="L1141" s="206"/>
    </row>
    <row r="1142" spans="1:12" s="187" customFormat="1" x14ac:dyDescent="0.2">
      <c r="A1142" s="111">
        <f>IF(F1142&lt;&gt;"",1+MAX($A$7:A1141),"")</f>
        <v>398</v>
      </c>
      <c r="B1142" s="2" t="s">
        <v>112</v>
      </c>
      <c r="C1142" s="2" t="s">
        <v>111</v>
      </c>
      <c r="D1142" s="212"/>
      <c r="E1142" s="213" t="s">
        <v>107</v>
      </c>
      <c r="F1142" s="17">
        <f>147.2*9*2</f>
        <v>2649.6</v>
      </c>
      <c r="G1142" s="127">
        <v>0.1</v>
      </c>
      <c r="H1142" s="33">
        <f>F1142*(1+G1142)</f>
        <v>2914.56</v>
      </c>
      <c r="I1142" s="34" t="s">
        <v>18</v>
      </c>
      <c r="J1142" s="204">
        <f>J$143</f>
        <v>0</v>
      </c>
      <c r="K1142" s="205">
        <f>J1142*H1142</f>
        <v>0</v>
      </c>
      <c r="L1142" s="206"/>
    </row>
    <row r="1143" spans="1:12" s="187" customFormat="1" x14ac:dyDescent="0.2">
      <c r="A1143" s="111" t="str">
        <f>IF(F1143&lt;&gt;"",1+MAX($A$7:A1142),"")</f>
        <v/>
      </c>
      <c r="B1143" s="45"/>
      <c r="C1143" s="45"/>
      <c r="D1143" s="214"/>
      <c r="E1143" s="215" t="s">
        <v>48</v>
      </c>
      <c r="F1143" s="216"/>
      <c r="G1143" s="217"/>
      <c r="H1143" s="33">
        <f>ROUNDUP((H1142)/32,0)</f>
        <v>92</v>
      </c>
      <c r="I1143" s="34" t="s">
        <v>49</v>
      </c>
      <c r="J1143" s="204"/>
      <c r="K1143" s="205"/>
      <c r="L1143" s="206"/>
    </row>
    <row r="1144" spans="1:12" s="187" customFormat="1" x14ac:dyDescent="0.2">
      <c r="A1144" s="111" t="str">
        <f>IF(F1144&lt;&gt;"",1+MAX($A$7:A1143),"")</f>
        <v/>
      </c>
      <c r="B1144" s="45"/>
      <c r="C1144" s="45"/>
      <c r="D1144" s="214"/>
      <c r="E1144" s="215" t="s">
        <v>50</v>
      </c>
      <c r="F1144" s="216"/>
      <c r="G1144" s="217"/>
      <c r="H1144" s="33">
        <f>ROUNDUP(H1143*24/500,0)</f>
        <v>5</v>
      </c>
      <c r="I1144" s="34" t="s">
        <v>51</v>
      </c>
      <c r="J1144" s="204"/>
      <c r="K1144" s="205"/>
      <c r="L1144" s="206"/>
    </row>
    <row r="1145" spans="1:12" s="187" customFormat="1" x14ac:dyDescent="0.2">
      <c r="A1145" s="111" t="str">
        <f>IF(F1145&lt;&gt;"",1+MAX($A$7:A1144),"")</f>
        <v/>
      </c>
      <c r="B1145" s="45"/>
      <c r="C1145" s="45"/>
      <c r="D1145" s="214"/>
      <c r="E1145" s="215" t="s">
        <v>52</v>
      </c>
      <c r="F1145" s="216"/>
      <c r="G1145" s="217"/>
      <c r="H1145" s="218">
        <f>ROUNDUP((H1142)/200,0)</f>
        <v>15</v>
      </c>
      <c r="I1145" s="34" t="s">
        <v>53</v>
      </c>
      <c r="J1145" s="204"/>
      <c r="K1145" s="205"/>
      <c r="L1145" s="206"/>
    </row>
    <row r="1146" spans="1:12" s="187" customFormat="1" x14ac:dyDescent="0.2">
      <c r="A1146" s="111" t="str">
        <f>IF(F1146&lt;&gt;"",1+MAX($A$7:A1145),"")</f>
        <v/>
      </c>
      <c r="B1146" s="45"/>
      <c r="C1146" s="45"/>
      <c r="D1146" s="214"/>
      <c r="E1146" s="215" t="s">
        <v>54</v>
      </c>
      <c r="F1146" s="216"/>
      <c r="G1146" s="217"/>
      <c r="H1146" s="218">
        <f>ROUNDUP((H1142)*5.25/1000,0)</f>
        <v>16</v>
      </c>
      <c r="I1146" s="34" t="s">
        <v>55</v>
      </c>
      <c r="J1146" s="204"/>
      <c r="K1146" s="205"/>
      <c r="L1146" s="206"/>
    </row>
    <row r="1147" spans="1:12" s="187" customFormat="1" x14ac:dyDescent="0.2">
      <c r="A1147" s="111">
        <f>IF(F1147&lt;&gt;"",1+MAX($A$7:A1146),"")</f>
        <v>399</v>
      </c>
      <c r="B1147" s="2" t="s">
        <v>112</v>
      </c>
      <c r="C1147" s="2" t="s">
        <v>111</v>
      </c>
      <c r="D1147" s="214"/>
      <c r="E1147" s="213" t="s">
        <v>109</v>
      </c>
      <c r="F1147" s="17">
        <f>147.2*4</f>
        <v>588.79999999999995</v>
      </c>
      <c r="G1147" s="127">
        <v>0.1</v>
      </c>
      <c r="H1147" s="33">
        <f>F1147*(1+G1147)</f>
        <v>647.67999999999995</v>
      </c>
      <c r="I1147" s="34" t="s">
        <v>15</v>
      </c>
      <c r="J1147" s="204">
        <f>J$148</f>
        <v>0</v>
      </c>
      <c r="K1147" s="205">
        <f>J1147*H1147</f>
        <v>0</v>
      </c>
      <c r="L1147" s="206"/>
    </row>
    <row r="1148" spans="1:12" s="187" customFormat="1" x14ac:dyDescent="0.2">
      <c r="A1148" s="111">
        <f>IF(F1148&lt;&gt;"",1+MAX($A$7:A1147),"")</f>
        <v>400</v>
      </c>
      <c r="B1148" s="2" t="s">
        <v>112</v>
      </c>
      <c r="C1148" s="2" t="s">
        <v>111</v>
      </c>
      <c r="D1148" s="212"/>
      <c r="E1148" s="213" t="s">
        <v>118</v>
      </c>
      <c r="F1148" s="17">
        <f>147.2*9</f>
        <v>1324.8</v>
      </c>
      <c r="G1148" s="127">
        <v>0.1</v>
      </c>
      <c r="H1148" s="33">
        <f>F1148*(1+G1148)</f>
        <v>1457.28</v>
      </c>
      <c r="I1148" s="34" t="s">
        <v>18</v>
      </c>
      <c r="J1148" s="204">
        <f>J$187</f>
        <v>0</v>
      </c>
      <c r="K1148" s="205">
        <f>J1148*H1148</f>
        <v>0</v>
      </c>
      <c r="L1148" s="206"/>
    </row>
    <row r="1149" spans="1:12" s="187" customFormat="1" x14ac:dyDescent="0.2">
      <c r="A1149" s="111">
        <f>IF(F1149&lt;&gt;"",1+MAX($A$7:A1148),"")</f>
        <v>401</v>
      </c>
      <c r="B1149" s="2" t="s">
        <v>112</v>
      </c>
      <c r="C1149" s="2" t="s">
        <v>111</v>
      </c>
      <c r="D1149" s="212"/>
      <c r="E1149" s="213" t="s">
        <v>123</v>
      </c>
      <c r="F1149" s="17">
        <f>147.2*9</f>
        <v>1324.8</v>
      </c>
      <c r="G1149" s="127">
        <v>0.1</v>
      </c>
      <c r="H1149" s="33">
        <f>F1149*(1+G1149)</f>
        <v>1457.28</v>
      </c>
      <c r="I1149" s="34" t="s">
        <v>18</v>
      </c>
      <c r="J1149" s="204">
        <f>J$202</f>
        <v>0</v>
      </c>
      <c r="K1149" s="205">
        <f>J1149*H1149</f>
        <v>0</v>
      </c>
      <c r="L1149" s="206"/>
    </row>
    <row r="1150" spans="1:12" s="187" customFormat="1" x14ac:dyDescent="0.2">
      <c r="A1150" s="111" t="str">
        <f>IF(F1150&lt;&gt;"",1+MAX($A$7:A1149),"")</f>
        <v/>
      </c>
      <c r="B1150" s="2"/>
      <c r="C1150" s="2"/>
      <c r="D1150" s="214"/>
      <c r="E1150" s="213"/>
      <c r="F1150" s="17"/>
      <c r="G1150" s="127"/>
      <c r="H1150" s="33"/>
      <c r="I1150" s="34"/>
      <c r="J1150" s="204"/>
      <c r="K1150" s="205"/>
      <c r="L1150" s="206"/>
    </row>
    <row r="1151" spans="1:12" s="187" customFormat="1" x14ac:dyDescent="0.2">
      <c r="A1151" s="111" t="str">
        <f>IF(F1151&lt;&gt;"",1+MAX($A$7:A1150),"")</f>
        <v/>
      </c>
      <c r="B1151" s="207"/>
      <c r="C1151" s="207"/>
      <c r="D1151" s="201"/>
      <c r="E1151" s="208" t="s">
        <v>124</v>
      </c>
      <c r="F1151" s="203"/>
      <c r="G1151" s="25"/>
      <c r="H1151" s="209"/>
      <c r="I1151" s="5"/>
      <c r="J1151" s="210"/>
      <c r="K1151" s="211"/>
      <c r="L1151" s="206"/>
    </row>
    <row r="1152" spans="1:12" s="187" customFormat="1" x14ac:dyDescent="0.2">
      <c r="A1152" s="111">
        <f>IF(F1152&lt;&gt;"",1+MAX($A$7:A1151),"")</f>
        <v>402</v>
      </c>
      <c r="B1152" s="2" t="s">
        <v>112</v>
      </c>
      <c r="C1152" s="2" t="s">
        <v>111</v>
      </c>
      <c r="D1152" s="212"/>
      <c r="E1152" s="213" t="s">
        <v>122</v>
      </c>
      <c r="F1152" s="17">
        <f>182.9*9</f>
        <v>1646.1000000000001</v>
      </c>
      <c r="G1152" s="127">
        <v>0.1</v>
      </c>
      <c r="H1152" s="33">
        <f>F1152*(1+G1152)</f>
        <v>1810.7100000000003</v>
      </c>
      <c r="I1152" s="34" t="s">
        <v>18</v>
      </c>
      <c r="J1152" s="204">
        <f>J$143</f>
        <v>0</v>
      </c>
      <c r="K1152" s="205">
        <f>J1152*H1152</f>
        <v>0</v>
      </c>
      <c r="L1152" s="206"/>
    </row>
    <row r="1153" spans="1:12" s="187" customFormat="1" x14ac:dyDescent="0.2">
      <c r="A1153" s="111" t="str">
        <f>IF(F1153&lt;&gt;"",1+MAX($A$7:A1152),"")</f>
        <v/>
      </c>
      <c r="B1153" s="45"/>
      <c r="C1153" s="45"/>
      <c r="D1153" s="214"/>
      <c r="E1153" s="215" t="s">
        <v>48</v>
      </c>
      <c r="F1153" s="216"/>
      <c r="G1153" s="217"/>
      <c r="H1153" s="33">
        <f>ROUNDUP((H1152)/32,0)</f>
        <v>57</v>
      </c>
      <c r="I1153" s="34" t="s">
        <v>49</v>
      </c>
      <c r="J1153" s="204"/>
      <c r="K1153" s="205"/>
      <c r="L1153" s="206"/>
    </row>
    <row r="1154" spans="1:12" s="187" customFormat="1" x14ac:dyDescent="0.2">
      <c r="A1154" s="111" t="str">
        <f>IF(F1154&lt;&gt;"",1+MAX($A$7:A1153),"")</f>
        <v/>
      </c>
      <c r="B1154" s="45"/>
      <c r="C1154" s="45"/>
      <c r="D1154" s="214"/>
      <c r="E1154" s="215" t="s">
        <v>50</v>
      </c>
      <c r="F1154" s="216"/>
      <c r="G1154" s="217"/>
      <c r="H1154" s="33">
        <f>ROUNDUP(H1153*24/500,0)</f>
        <v>3</v>
      </c>
      <c r="I1154" s="34" t="s">
        <v>51</v>
      </c>
      <c r="J1154" s="204"/>
      <c r="K1154" s="205"/>
      <c r="L1154" s="206"/>
    </row>
    <row r="1155" spans="1:12" s="187" customFormat="1" x14ac:dyDescent="0.2">
      <c r="A1155" s="111" t="str">
        <f>IF(F1155&lt;&gt;"",1+MAX($A$7:A1154),"")</f>
        <v/>
      </c>
      <c r="B1155" s="45"/>
      <c r="C1155" s="45"/>
      <c r="D1155" s="214"/>
      <c r="E1155" s="215" t="s">
        <v>52</v>
      </c>
      <c r="F1155" s="216"/>
      <c r="G1155" s="217"/>
      <c r="H1155" s="218">
        <f>ROUNDUP((H1152)/200,0)</f>
        <v>10</v>
      </c>
      <c r="I1155" s="34" t="s">
        <v>53</v>
      </c>
      <c r="J1155" s="204"/>
      <c r="K1155" s="205"/>
      <c r="L1155" s="206"/>
    </row>
    <row r="1156" spans="1:12" s="187" customFormat="1" x14ac:dyDescent="0.2">
      <c r="A1156" s="111" t="str">
        <f>IF(F1156&lt;&gt;"",1+MAX($A$7:A1155),"")</f>
        <v/>
      </c>
      <c r="B1156" s="45"/>
      <c r="C1156" s="45"/>
      <c r="D1156" s="214"/>
      <c r="E1156" s="215" t="s">
        <v>54</v>
      </c>
      <c r="F1156" s="216"/>
      <c r="G1156" s="217"/>
      <c r="H1156" s="218">
        <f>ROUNDUP((H1152)*5.25/1000,0)</f>
        <v>10</v>
      </c>
      <c r="I1156" s="34" t="s">
        <v>55</v>
      </c>
      <c r="J1156" s="204"/>
      <c r="K1156" s="205"/>
      <c r="L1156" s="206"/>
    </row>
    <row r="1157" spans="1:12" s="187" customFormat="1" x14ac:dyDescent="0.2">
      <c r="A1157" s="111">
        <f>IF(F1157&lt;&gt;"",1+MAX($A$7:A1156),"")</f>
        <v>403</v>
      </c>
      <c r="B1157" s="2" t="s">
        <v>112</v>
      </c>
      <c r="C1157" s="2" t="s">
        <v>111</v>
      </c>
      <c r="D1157" s="212"/>
      <c r="E1157" s="213" t="s">
        <v>108</v>
      </c>
      <c r="F1157" s="17">
        <f>63*9</f>
        <v>567</v>
      </c>
      <c r="G1157" s="127">
        <v>0.1</v>
      </c>
      <c r="H1157" s="33">
        <f>F1157*(1+G1157)</f>
        <v>623.70000000000005</v>
      </c>
      <c r="I1157" s="34" t="s">
        <v>18</v>
      </c>
      <c r="J1157" s="204">
        <f>J$160</f>
        <v>0</v>
      </c>
      <c r="K1157" s="205">
        <f>J1157*H1157</f>
        <v>0</v>
      </c>
      <c r="L1157" s="206"/>
    </row>
    <row r="1158" spans="1:12" s="187" customFormat="1" x14ac:dyDescent="0.2">
      <c r="A1158" s="111" t="str">
        <f>IF(F1158&lt;&gt;"",1+MAX($A$7:A1157),"")</f>
        <v/>
      </c>
      <c r="B1158" s="45"/>
      <c r="C1158" s="45"/>
      <c r="D1158" s="214"/>
      <c r="E1158" s="215" t="s">
        <v>48</v>
      </c>
      <c r="F1158" s="216"/>
      <c r="G1158" s="217"/>
      <c r="H1158" s="33">
        <f>ROUNDUP((H1157)/32,0)</f>
        <v>20</v>
      </c>
      <c r="I1158" s="34" t="s">
        <v>49</v>
      </c>
      <c r="J1158" s="204"/>
      <c r="K1158" s="205"/>
      <c r="L1158" s="206"/>
    </row>
    <row r="1159" spans="1:12" s="187" customFormat="1" x14ac:dyDescent="0.2">
      <c r="A1159" s="111" t="str">
        <f>IF(F1159&lt;&gt;"",1+MAX($A$7:A1158),"")</f>
        <v/>
      </c>
      <c r="B1159" s="45"/>
      <c r="C1159" s="45"/>
      <c r="D1159" s="214"/>
      <c r="E1159" s="215" t="s">
        <v>50</v>
      </c>
      <c r="F1159" s="216"/>
      <c r="G1159" s="217"/>
      <c r="H1159" s="33">
        <f>ROUNDUP(H1158*24/500,0)</f>
        <v>1</v>
      </c>
      <c r="I1159" s="34" t="s">
        <v>51</v>
      </c>
      <c r="J1159" s="204"/>
      <c r="K1159" s="205"/>
      <c r="L1159" s="206"/>
    </row>
    <row r="1160" spans="1:12" s="187" customFormat="1" x14ac:dyDescent="0.2">
      <c r="A1160" s="111" t="str">
        <f>IF(F1160&lt;&gt;"",1+MAX($A$7:A1159),"")</f>
        <v/>
      </c>
      <c r="B1160" s="45"/>
      <c r="C1160" s="45"/>
      <c r="D1160" s="214"/>
      <c r="E1160" s="215" t="s">
        <v>52</v>
      </c>
      <c r="F1160" s="216"/>
      <c r="G1160" s="217"/>
      <c r="H1160" s="218">
        <f>ROUNDUP((H1157)/200,0)</f>
        <v>4</v>
      </c>
      <c r="I1160" s="34" t="s">
        <v>53</v>
      </c>
      <c r="J1160" s="204"/>
      <c r="K1160" s="205"/>
      <c r="L1160" s="206"/>
    </row>
    <row r="1161" spans="1:12" s="187" customFormat="1" x14ac:dyDescent="0.2">
      <c r="A1161" s="111" t="str">
        <f>IF(F1161&lt;&gt;"",1+MAX($A$7:A1160),"")</f>
        <v/>
      </c>
      <c r="B1161" s="45"/>
      <c r="C1161" s="45"/>
      <c r="D1161" s="214"/>
      <c r="E1161" s="215" t="s">
        <v>54</v>
      </c>
      <c r="F1161" s="216"/>
      <c r="G1161" s="217"/>
      <c r="H1161" s="218">
        <f>ROUNDUP((H1157)*5.25/1000,0)</f>
        <v>4</v>
      </c>
      <c r="I1161" s="34" t="s">
        <v>55</v>
      </c>
      <c r="J1161" s="204"/>
      <c r="K1161" s="205"/>
      <c r="L1161" s="206"/>
    </row>
    <row r="1162" spans="1:12" s="187" customFormat="1" x14ac:dyDescent="0.2">
      <c r="A1162" s="111">
        <f>IF(F1162&lt;&gt;"",1+MAX($A$7:A1161),"")</f>
        <v>404</v>
      </c>
      <c r="B1162" s="2" t="s">
        <v>112</v>
      </c>
      <c r="C1162" s="2" t="s">
        <v>111</v>
      </c>
      <c r="D1162" s="214"/>
      <c r="E1162" s="213" t="s">
        <v>109</v>
      </c>
      <c r="F1162" s="17">
        <f>245.9*2</f>
        <v>491.8</v>
      </c>
      <c r="G1162" s="127">
        <v>0.1</v>
      </c>
      <c r="H1162" s="33">
        <f>F1162*(1+G1162)</f>
        <v>540.98</v>
      </c>
      <c r="I1162" s="34" t="s">
        <v>15</v>
      </c>
      <c r="J1162" s="204">
        <f>J$148</f>
        <v>0</v>
      </c>
      <c r="K1162" s="205">
        <f>J1162*H1162</f>
        <v>0</v>
      </c>
      <c r="L1162" s="206"/>
    </row>
    <row r="1163" spans="1:12" s="187" customFormat="1" x14ac:dyDescent="0.2">
      <c r="A1163" s="111">
        <f>IF(F1163&lt;&gt;"",1+MAX($A$7:A1162),"")</f>
        <v>405</v>
      </c>
      <c r="B1163" s="2" t="s">
        <v>112</v>
      </c>
      <c r="C1163" s="2" t="s">
        <v>111</v>
      </c>
      <c r="D1163" s="212"/>
      <c r="E1163" s="213" t="s">
        <v>484</v>
      </c>
      <c r="F1163" s="17">
        <f>245.9*9</f>
        <v>2213.1</v>
      </c>
      <c r="G1163" s="127">
        <v>0.1</v>
      </c>
      <c r="H1163" s="33">
        <f>F1163*(1+G1163)</f>
        <v>2434.4100000000003</v>
      </c>
      <c r="I1163" s="34" t="s">
        <v>18</v>
      </c>
      <c r="J1163" s="204">
        <f>J$276</f>
        <v>0</v>
      </c>
      <c r="K1163" s="205">
        <f>J1163*H1163</f>
        <v>0</v>
      </c>
      <c r="L1163" s="206"/>
    </row>
    <row r="1164" spans="1:12" s="187" customFormat="1" x14ac:dyDescent="0.2">
      <c r="A1164" s="111">
        <f>IF(F1164&lt;&gt;"",1+MAX($A$7:A1163),"")</f>
        <v>406</v>
      </c>
      <c r="B1164" s="2" t="s">
        <v>112</v>
      </c>
      <c r="C1164" s="2" t="s">
        <v>111</v>
      </c>
      <c r="D1164" s="212"/>
      <c r="E1164" s="213" t="s">
        <v>123</v>
      </c>
      <c r="F1164" s="17">
        <f>245.9*9</f>
        <v>2213.1</v>
      </c>
      <c r="G1164" s="127">
        <v>0.1</v>
      </c>
      <c r="H1164" s="33">
        <f>F1164*(1+G1164)</f>
        <v>2434.4100000000003</v>
      </c>
      <c r="I1164" s="34" t="s">
        <v>18</v>
      </c>
      <c r="J1164" s="204">
        <f>J$202</f>
        <v>0</v>
      </c>
      <c r="K1164" s="205">
        <f>J1164*H1164</f>
        <v>0</v>
      </c>
      <c r="L1164" s="206"/>
    </row>
    <row r="1165" spans="1:12" s="187" customFormat="1" x14ac:dyDescent="0.2">
      <c r="A1165" s="111" t="str">
        <f>IF(F1165&lt;&gt;"",1+MAX($A$7:A1164),"")</f>
        <v/>
      </c>
      <c r="B1165" s="2"/>
      <c r="C1165" s="2"/>
      <c r="D1165" s="214"/>
      <c r="E1165" s="213"/>
      <c r="F1165" s="17"/>
      <c r="G1165" s="127"/>
      <c r="H1165" s="33"/>
      <c r="I1165" s="34"/>
      <c r="J1165" s="204"/>
      <c r="K1165" s="205"/>
      <c r="L1165" s="206"/>
    </row>
    <row r="1166" spans="1:12" s="187" customFormat="1" x14ac:dyDescent="0.2">
      <c r="A1166" s="111" t="str">
        <f>IF(F1166&lt;&gt;"",1+MAX($A$7:A1165),"")</f>
        <v/>
      </c>
      <c r="B1166" s="207"/>
      <c r="C1166" s="207"/>
      <c r="D1166" s="201"/>
      <c r="E1166" s="208" t="s">
        <v>201</v>
      </c>
      <c r="F1166" s="203"/>
      <c r="G1166" s="25"/>
      <c r="H1166" s="209"/>
      <c r="I1166" s="5"/>
      <c r="J1166" s="210"/>
      <c r="K1166" s="211"/>
      <c r="L1166" s="206"/>
    </row>
    <row r="1167" spans="1:12" s="187" customFormat="1" x14ac:dyDescent="0.2">
      <c r="A1167" s="111">
        <f>IF(F1167&lt;&gt;"",1+MAX($A$7:A1166),"")</f>
        <v>407</v>
      </c>
      <c r="B1167" s="2" t="s">
        <v>112</v>
      </c>
      <c r="C1167" s="2" t="s">
        <v>111</v>
      </c>
      <c r="D1167" s="212"/>
      <c r="E1167" s="213" t="s">
        <v>107</v>
      </c>
      <c r="F1167" s="17">
        <f>25*9</f>
        <v>225</v>
      </c>
      <c r="G1167" s="127">
        <v>0.1</v>
      </c>
      <c r="H1167" s="33">
        <f>F1167*(1+G1167)</f>
        <v>247.50000000000003</v>
      </c>
      <c r="I1167" s="34" t="s">
        <v>18</v>
      </c>
      <c r="J1167" s="204">
        <f>J$143</f>
        <v>0</v>
      </c>
      <c r="K1167" s="205">
        <f>J1167*H1167</f>
        <v>0</v>
      </c>
      <c r="L1167" s="206"/>
    </row>
    <row r="1168" spans="1:12" s="187" customFormat="1" x14ac:dyDescent="0.2">
      <c r="A1168" s="111" t="str">
        <f>IF(F1168&lt;&gt;"",1+MAX($A$7:A1167),"")</f>
        <v/>
      </c>
      <c r="B1168" s="45"/>
      <c r="C1168" s="45"/>
      <c r="D1168" s="214"/>
      <c r="E1168" s="215" t="s">
        <v>48</v>
      </c>
      <c r="F1168" s="216"/>
      <c r="G1168" s="217"/>
      <c r="H1168" s="33">
        <f>ROUNDUP((H1167)/32,0)</f>
        <v>8</v>
      </c>
      <c r="I1168" s="34" t="s">
        <v>49</v>
      </c>
      <c r="J1168" s="204"/>
      <c r="K1168" s="205"/>
      <c r="L1168" s="206"/>
    </row>
    <row r="1169" spans="1:12" s="187" customFormat="1" x14ac:dyDescent="0.2">
      <c r="A1169" s="111" t="str">
        <f>IF(F1169&lt;&gt;"",1+MAX($A$7:A1168),"")</f>
        <v/>
      </c>
      <c r="B1169" s="45"/>
      <c r="C1169" s="45"/>
      <c r="D1169" s="214"/>
      <c r="E1169" s="215" t="s">
        <v>50</v>
      </c>
      <c r="F1169" s="216"/>
      <c r="G1169" s="217"/>
      <c r="H1169" s="33">
        <f>ROUNDUP(H1168*24/500,0)</f>
        <v>1</v>
      </c>
      <c r="I1169" s="34" t="s">
        <v>51</v>
      </c>
      <c r="J1169" s="204"/>
      <c r="K1169" s="205"/>
      <c r="L1169" s="206"/>
    </row>
    <row r="1170" spans="1:12" s="187" customFormat="1" x14ac:dyDescent="0.2">
      <c r="A1170" s="111" t="str">
        <f>IF(F1170&lt;&gt;"",1+MAX($A$7:A1169),"")</f>
        <v/>
      </c>
      <c r="B1170" s="45"/>
      <c r="C1170" s="45"/>
      <c r="D1170" s="214"/>
      <c r="E1170" s="215" t="s">
        <v>52</v>
      </c>
      <c r="F1170" s="216"/>
      <c r="G1170" s="217"/>
      <c r="H1170" s="218">
        <f>ROUNDUP((H1167)/200,0)</f>
        <v>2</v>
      </c>
      <c r="I1170" s="34" t="s">
        <v>53</v>
      </c>
      <c r="J1170" s="204"/>
      <c r="K1170" s="205"/>
      <c r="L1170" s="206"/>
    </row>
    <row r="1171" spans="1:12" s="187" customFormat="1" x14ac:dyDescent="0.2">
      <c r="A1171" s="111" t="str">
        <f>IF(F1171&lt;&gt;"",1+MAX($A$7:A1170),"")</f>
        <v/>
      </c>
      <c r="B1171" s="45"/>
      <c r="C1171" s="45"/>
      <c r="D1171" s="214"/>
      <c r="E1171" s="215" t="s">
        <v>54</v>
      </c>
      <c r="F1171" s="216"/>
      <c r="G1171" s="217"/>
      <c r="H1171" s="218">
        <f>ROUNDUP((H1167)*5.25/1000,0)</f>
        <v>2</v>
      </c>
      <c r="I1171" s="34" t="s">
        <v>55</v>
      </c>
      <c r="J1171" s="204"/>
      <c r="K1171" s="205"/>
      <c r="L1171" s="206"/>
    </row>
    <row r="1172" spans="1:12" s="187" customFormat="1" x14ac:dyDescent="0.2">
      <c r="A1172" s="111">
        <f>IF(F1172&lt;&gt;"",1+MAX($A$7:A1171),"")</f>
        <v>408</v>
      </c>
      <c r="B1172" s="2" t="s">
        <v>112</v>
      </c>
      <c r="C1172" s="2" t="s">
        <v>111</v>
      </c>
      <c r="D1172" s="212"/>
      <c r="E1172" s="213" t="s">
        <v>108</v>
      </c>
      <c r="F1172" s="17">
        <f>25*9</f>
        <v>225</v>
      </c>
      <c r="G1172" s="127">
        <v>0.1</v>
      </c>
      <c r="H1172" s="33">
        <f>F1172*(1+G1172)</f>
        <v>247.50000000000003</v>
      </c>
      <c r="I1172" s="34" t="s">
        <v>18</v>
      </c>
      <c r="J1172" s="204">
        <f>J$160</f>
        <v>0</v>
      </c>
      <c r="K1172" s="205">
        <f>J1172*H1172</f>
        <v>0</v>
      </c>
      <c r="L1172" s="206"/>
    </row>
    <row r="1173" spans="1:12" s="187" customFormat="1" x14ac:dyDescent="0.2">
      <c r="A1173" s="111" t="str">
        <f>IF(F1173&lt;&gt;"",1+MAX($A$7:A1172),"")</f>
        <v/>
      </c>
      <c r="B1173" s="45"/>
      <c r="C1173" s="45"/>
      <c r="D1173" s="214"/>
      <c r="E1173" s="215" t="s">
        <v>48</v>
      </c>
      <c r="F1173" s="216"/>
      <c r="G1173" s="217"/>
      <c r="H1173" s="33">
        <f>ROUNDUP((H1172)/32,0)</f>
        <v>8</v>
      </c>
      <c r="I1173" s="34" t="s">
        <v>49</v>
      </c>
      <c r="J1173" s="204"/>
      <c r="K1173" s="205"/>
      <c r="L1173" s="206"/>
    </row>
    <row r="1174" spans="1:12" s="187" customFormat="1" x14ac:dyDescent="0.2">
      <c r="A1174" s="111" t="str">
        <f>IF(F1174&lt;&gt;"",1+MAX($A$7:A1173),"")</f>
        <v/>
      </c>
      <c r="B1174" s="45"/>
      <c r="C1174" s="45"/>
      <c r="D1174" s="214"/>
      <c r="E1174" s="215" t="s">
        <v>50</v>
      </c>
      <c r="F1174" s="216"/>
      <c r="G1174" s="217"/>
      <c r="H1174" s="33">
        <f>ROUNDUP(H1173*24/500,0)</f>
        <v>1</v>
      </c>
      <c r="I1174" s="34" t="s">
        <v>51</v>
      </c>
      <c r="J1174" s="204"/>
      <c r="K1174" s="205"/>
      <c r="L1174" s="206"/>
    </row>
    <row r="1175" spans="1:12" s="187" customFormat="1" x14ac:dyDescent="0.2">
      <c r="A1175" s="111" t="str">
        <f>IF(F1175&lt;&gt;"",1+MAX($A$7:A1174),"")</f>
        <v/>
      </c>
      <c r="B1175" s="45"/>
      <c r="C1175" s="45"/>
      <c r="D1175" s="214"/>
      <c r="E1175" s="215" t="s">
        <v>52</v>
      </c>
      <c r="F1175" s="216"/>
      <c r="G1175" s="217"/>
      <c r="H1175" s="218">
        <f>ROUNDUP((H1172)/200,0)</f>
        <v>2</v>
      </c>
      <c r="I1175" s="34" t="s">
        <v>53</v>
      </c>
      <c r="J1175" s="204"/>
      <c r="K1175" s="205"/>
      <c r="L1175" s="206"/>
    </row>
    <row r="1176" spans="1:12" s="187" customFormat="1" x14ac:dyDescent="0.2">
      <c r="A1176" s="111" t="str">
        <f>IF(F1176&lt;&gt;"",1+MAX($A$7:A1175),"")</f>
        <v/>
      </c>
      <c r="B1176" s="45"/>
      <c r="C1176" s="45"/>
      <c r="D1176" s="214"/>
      <c r="E1176" s="215" t="s">
        <v>54</v>
      </c>
      <c r="F1176" s="216"/>
      <c r="G1176" s="217"/>
      <c r="H1176" s="218">
        <f>ROUNDUP((H1172)*5.25/1000,0)</f>
        <v>2</v>
      </c>
      <c r="I1176" s="34" t="s">
        <v>55</v>
      </c>
      <c r="J1176" s="204"/>
      <c r="K1176" s="205"/>
      <c r="L1176" s="206"/>
    </row>
    <row r="1177" spans="1:12" s="187" customFormat="1" x14ac:dyDescent="0.2">
      <c r="A1177" s="111">
        <f>IF(F1177&lt;&gt;"",1+MAX($A$7:A1176),"")</f>
        <v>409</v>
      </c>
      <c r="B1177" s="2" t="s">
        <v>112</v>
      </c>
      <c r="C1177" s="2" t="s">
        <v>111</v>
      </c>
      <c r="D1177" s="214"/>
      <c r="E1177" s="213" t="s">
        <v>109</v>
      </c>
      <c r="F1177" s="17">
        <f>25*4</f>
        <v>100</v>
      </c>
      <c r="G1177" s="127">
        <v>0.1</v>
      </c>
      <c r="H1177" s="33">
        <f>F1177*(1+G1177)</f>
        <v>110.00000000000001</v>
      </c>
      <c r="I1177" s="34" t="s">
        <v>15</v>
      </c>
      <c r="J1177" s="204">
        <f>J$148</f>
        <v>0</v>
      </c>
      <c r="K1177" s="205">
        <f>J1177*H1177</f>
        <v>0</v>
      </c>
      <c r="L1177" s="206"/>
    </row>
    <row r="1178" spans="1:12" s="187" customFormat="1" x14ac:dyDescent="0.2">
      <c r="A1178" s="111">
        <f>IF(F1178&lt;&gt;"",1+MAX($A$7:A1177),"")</f>
        <v>410</v>
      </c>
      <c r="B1178" s="2" t="s">
        <v>112</v>
      </c>
      <c r="C1178" s="2" t="s">
        <v>111</v>
      </c>
      <c r="D1178" s="212"/>
      <c r="E1178" s="213" t="s">
        <v>119</v>
      </c>
      <c r="F1178" s="17">
        <f t="shared" ref="F1178:F1179" si="78">25*9</f>
        <v>225</v>
      </c>
      <c r="G1178" s="127">
        <v>0.1</v>
      </c>
      <c r="H1178" s="33">
        <f>F1178*(1+G1178)</f>
        <v>247.50000000000003</v>
      </c>
      <c r="I1178" s="34" t="s">
        <v>18</v>
      </c>
      <c r="J1178" s="204">
        <f>J$226</f>
        <v>0</v>
      </c>
      <c r="K1178" s="205">
        <f>J1178*H1178</f>
        <v>0</v>
      </c>
      <c r="L1178" s="206"/>
    </row>
    <row r="1179" spans="1:12" s="187" customFormat="1" x14ac:dyDescent="0.2">
      <c r="A1179" s="111">
        <f>IF(F1179&lt;&gt;"",1+MAX($A$7:A1178),"")</f>
        <v>411</v>
      </c>
      <c r="B1179" s="2" t="s">
        <v>112</v>
      </c>
      <c r="C1179" s="2" t="s">
        <v>111</v>
      </c>
      <c r="D1179" s="212"/>
      <c r="E1179" s="213" t="s">
        <v>123</v>
      </c>
      <c r="F1179" s="17">
        <f t="shared" si="78"/>
        <v>225</v>
      </c>
      <c r="G1179" s="127">
        <v>0.1</v>
      </c>
      <c r="H1179" s="33">
        <f>F1179*(1+G1179)</f>
        <v>247.50000000000003</v>
      </c>
      <c r="I1179" s="34" t="s">
        <v>18</v>
      </c>
      <c r="J1179" s="204">
        <f>J$202</f>
        <v>0</v>
      </c>
      <c r="K1179" s="205">
        <f>J1179*H1179</f>
        <v>0</v>
      </c>
      <c r="L1179" s="206"/>
    </row>
    <row r="1180" spans="1:12" s="187" customFormat="1" x14ac:dyDescent="0.2">
      <c r="A1180" s="111" t="str">
        <f>IF(F1180&lt;&gt;"",1+MAX($A$7:A1179),"")</f>
        <v/>
      </c>
      <c r="B1180" s="2"/>
      <c r="C1180" s="2"/>
      <c r="D1180" s="214"/>
      <c r="E1180" s="213"/>
      <c r="F1180" s="17"/>
      <c r="G1180" s="127"/>
      <c r="H1180" s="33"/>
      <c r="I1180" s="34"/>
      <c r="J1180" s="204"/>
      <c r="K1180" s="205"/>
      <c r="L1180" s="206"/>
    </row>
    <row r="1181" spans="1:12" s="187" customFormat="1" x14ac:dyDescent="0.2">
      <c r="A1181" s="111" t="str">
        <f>IF(F1181&lt;&gt;"",1+MAX($A$7:A1180),"")</f>
        <v/>
      </c>
      <c r="B1181" s="207"/>
      <c r="C1181" s="207"/>
      <c r="D1181" s="201"/>
      <c r="E1181" s="208" t="s">
        <v>202</v>
      </c>
      <c r="F1181" s="203"/>
      <c r="G1181" s="25"/>
      <c r="H1181" s="209"/>
      <c r="I1181" s="5"/>
      <c r="J1181" s="210"/>
      <c r="K1181" s="211"/>
      <c r="L1181" s="206"/>
    </row>
    <row r="1182" spans="1:12" s="187" customFormat="1" ht="31.5" x14ac:dyDescent="0.2">
      <c r="A1182" s="111">
        <f>IF(F1182&lt;&gt;"",1+MAX($A$7:A1181),"")</f>
        <v>412</v>
      </c>
      <c r="B1182" s="2" t="s">
        <v>112</v>
      </c>
      <c r="C1182" s="2" t="s">
        <v>111</v>
      </c>
      <c r="D1182" s="212"/>
      <c r="E1182" s="213" t="s">
        <v>204</v>
      </c>
      <c r="F1182" s="17">
        <f>56*9*2</f>
        <v>1008</v>
      </c>
      <c r="G1182" s="127">
        <v>0.1</v>
      </c>
      <c r="H1182" s="33">
        <f>F1182*(1+G1182)</f>
        <v>1108.8000000000002</v>
      </c>
      <c r="I1182" s="34" t="s">
        <v>18</v>
      </c>
      <c r="J1182" s="204">
        <f>J$160</f>
        <v>0</v>
      </c>
      <c r="K1182" s="205">
        <f>J1182*H1182</f>
        <v>0</v>
      </c>
      <c r="L1182" s="206"/>
    </row>
    <row r="1183" spans="1:12" s="187" customFormat="1" x14ac:dyDescent="0.2">
      <c r="A1183" s="111" t="str">
        <f>IF(F1183&lt;&gt;"",1+MAX($A$7:A1182),"")</f>
        <v/>
      </c>
      <c r="B1183" s="45"/>
      <c r="C1183" s="45"/>
      <c r="D1183" s="214"/>
      <c r="E1183" s="215" t="s">
        <v>48</v>
      </c>
      <c r="F1183" s="216"/>
      <c r="G1183" s="217"/>
      <c r="H1183" s="33">
        <f>ROUNDUP((H1182)/32,0)</f>
        <v>35</v>
      </c>
      <c r="I1183" s="34" t="s">
        <v>49</v>
      </c>
      <c r="J1183" s="204"/>
      <c r="K1183" s="205"/>
      <c r="L1183" s="206"/>
    </row>
    <row r="1184" spans="1:12" s="187" customFormat="1" x14ac:dyDescent="0.2">
      <c r="A1184" s="111" t="str">
        <f>IF(F1184&lt;&gt;"",1+MAX($A$7:A1183),"")</f>
        <v/>
      </c>
      <c r="B1184" s="45"/>
      <c r="C1184" s="45"/>
      <c r="D1184" s="214"/>
      <c r="E1184" s="215" t="s">
        <v>50</v>
      </c>
      <c r="F1184" s="216"/>
      <c r="G1184" s="217"/>
      <c r="H1184" s="33">
        <f>ROUNDUP(H1183*24/500,0)</f>
        <v>2</v>
      </c>
      <c r="I1184" s="34" t="s">
        <v>51</v>
      </c>
      <c r="J1184" s="204"/>
      <c r="K1184" s="205"/>
      <c r="L1184" s="206"/>
    </row>
    <row r="1185" spans="1:12" s="187" customFormat="1" x14ac:dyDescent="0.2">
      <c r="A1185" s="111" t="str">
        <f>IF(F1185&lt;&gt;"",1+MAX($A$7:A1184),"")</f>
        <v/>
      </c>
      <c r="B1185" s="45"/>
      <c r="C1185" s="45"/>
      <c r="D1185" s="214"/>
      <c r="E1185" s="215" t="s">
        <v>52</v>
      </c>
      <c r="F1185" s="216"/>
      <c r="G1185" s="217"/>
      <c r="H1185" s="218">
        <f>ROUNDUP((H1182)/200,0)</f>
        <v>6</v>
      </c>
      <c r="I1185" s="34" t="s">
        <v>53</v>
      </c>
      <c r="J1185" s="204"/>
      <c r="K1185" s="205"/>
      <c r="L1185" s="206"/>
    </row>
    <row r="1186" spans="1:12" s="187" customFormat="1" x14ac:dyDescent="0.2">
      <c r="A1186" s="111" t="str">
        <f>IF(F1186&lt;&gt;"",1+MAX($A$7:A1185),"")</f>
        <v/>
      </c>
      <c r="B1186" s="45"/>
      <c r="C1186" s="45"/>
      <c r="D1186" s="214"/>
      <c r="E1186" s="215" t="s">
        <v>54</v>
      </c>
      <c r="F1186" s="216"/>
      <c r="G1186" s="217"/>
      <c r="H1186" s="218">
        <f>ROUNDUP((H1182)*5.25/1000,0)</f>
        <v>6</v>
      </c>
      <c r="I1186" s="34" t="s">
        <v>55</v>
      </c>
      <c r="J1186" s="204"/>
      <c r="K1186" s="205"/>
      <c r="L1186" s="206"/>
    </row>
    <row r="1187" spans="1:12" s="187" customFormat="1" x14ac:dyDescent="0.2">
      <c r="A1187" s="111">
        <f>IF(F1187&lt;&gt;"",1+MAX($A$7:A1186),"")</f>
        <v>413</v>
      </c>
      <c r="B1187" s="2" t="s">
        <v>112</v>
      </c>
      <c r="C1187" s="2" t="s">
        <v>111</v>
      </c>
      <c r="D1187" s="214"/>
      <c r="E1187" s="213" t="s">
        <v>109</v>
      </c>
      <c r="F1187" s="17">
        <f>56*4</f>
        <v>224</v>
      </c>
      <c r="G1187" s="127">
        <v>0.1</v>
      </c>
      <c r="H1187" s="33">
        <f>F1187*(1+G1187)</f>
        <v>246.40000000000003</v>
      </c>
      <c r="I1187" s="34" t="s">
        <v>15</v>
      </c>
      <c r="J1187" s="204">
        <f>J$148</f>
        <v>0</v>
      </c>
      <c r="K1187" s="205">
        <f>J1187*H1187</f>
        <v>0</v>
      </c>
      <c r="L1187" s="206"/>
    </row>
    <row r="1188" spans="1:12" s="187" customFormat="1" x14ac:dyDescent="0.2">
      <c r="A1188" s="111">
        <f>IF(F1188&lt;&gt;"",1+MAX($A$7:A1187),"")</f>
        <v>414</v>
      </c>
      <c r="B1188" s="2" t="s">
        <v>112</v>
      </c>
      <c r="C1188" s="2" t="s">
        <v>111</v>
      </c>
      <c r="D1188" s="212"/>
      <c r="E1188" s="213" t="s">
        <v>119</v>
      </c>
      <c r="F1188" s="17">
        <f>56*9</f>
        <v>504</v>
      </c>
      <c r="G1188" s="127">
        <v>0.1</v>
      </c>
      <c r="H1188" s="33">
        <f>F1188*(1+G1188)</f>
        <v>554.40000000000009</v>
      </c>
      <c r="I1188" s="34" t="s">
        <v>18</v>
      </c>
      <c r="J1188" s="204">
        <f>J$226</f>
        <v>0</v>
      </c>
      <c r="K1188" s="205">
        <f>J1188*H1188</f>
        <v>0</v>
      </c>
      <c r="L1188" s="206"/>
    </row>
    <row r="1189" spans="1:12" s="187" customFormat="1" x14ac:dyDescent="0.2">
      <c r="A1189" s="111">
        <f>IF(F1189&lt;&gt;"",1+MAX($A$7:A1188),"")</f>
        <v>415</v>
      </c>
      <c r="B1189" s="2" t="s">
        <v>112</v>
      </c>
      <c r="C1189" s="2" t="s">
        <v>111</v>
      </c>
      <c r="D1189" s="212"/>
      <c r="E1189" s="213" t="s">
        <v>123</v>
      </c>
      <c r="F1189" s="17">
        <f>56*9</f>
        <v>504</v>
      </c>
      <c r="G1189" s="127">
        <v>0.1</v>
      </c>
      <c r="H1189" s="33">
        <f>F1189*(1+G1189)</f>
        <v>554.40000000000009</v>
      </c>
      <c r="I1189" s="34" t="s">
        <v>18</v>
      </c>
      <c r="J1189" s="204">
        <f>J$202</f>
        <v>0</v>
      </c>
      <c r="K1189" s="205">
        <f>J1189*H1189</f>
        <v>0</v>
      </c>
      <c r="L1189" s="206"/>
    </row>
    <row r="1190" spans="1:12" s="187" customFormat="1" x14ac:dyDescent="0.2">
      <c r="A1190" s="111" t="str">
        <f>IF(F1190&lt;&gt;"",1+MAX($A$7:A1189),"")</f>
        <v/>
      </c>
      <c r="B1190" s="2"/>
      <c r="C1190" s="2"/>
      <c r="D1190" s="214"/>
      <c r="E1190" s="213"/>
      <c r="F1190" s="17"/>
      <c r="G1190" s="127"/>
      <c r="H1190" s="33"/>
      <c r="I1190" s="34"/>
      <c r="J1190" s="204"/>
      <c r="K1190" s="205"/>
      <c r="L1190" s="206"/>
    </row>
    <row r="1191" spans="1:12" s="187" customFormat="1" x14ac:dyDescent="0.2">
      <c r="A1191" s="111" t="str">
        <f>IF(F1191&lt;&gt;"",1+MAX($A$7:A1190),"")</f>
        <v/>
      </c>
      <c r="B1191" s="207"/>
      <c r="C1191" s="207"/>
      <c r="D1191" s="201"/>
      <c r="E1191" s="208" t="s">
        <v>125</v>
      </c>
      <c r="F1191" s="203"/>
      <c r="G1191" s="25"/>
      <c r="H1191" s="209"/>
      <c r="I1191" s="5"/>
      <c r="J1191" s="210"/>
      <c r="K1191" s="211"/>
      <c r="L1191" s="206"/>
    </row>
    <row r="1192" spans="1:12" s="187" customFormat="1" ht="31.5" x14ac:dyDescent="0.2">
      <c r="A1192" s="111">
        <f>IF(F1192&lt;&gt;"",1+MAX($A$7:A1191),"")</f>
        <v>416</v>
      </c>
      <c r="B1192" s="2" t="s">
        <v>112</v>
      </c>
      <c r="C1192" s="2" t="s">
        <v>111</v>
      </c>
      <c r="D1192" s="212"/>
      <c r="E1192" s="213" t="s">
        <v>205</v>
      </c>
      <c r="F1192" s="17">
        <f>29.4*9</f>
        <v>264.59999999999997</v>
      </c>
      <c r="G1192" s="127">
        <v>0.1</v>
      </c>
      <c r="H1192" s="33">
        <f>F1192*(1+G1192)</f>
        <v>291.06</v>
      </c>
      <c r="I1192" s="34" t="s">
        <v>18</v>
      </c>
      <c r="J1192" s="204">
        <f>J$160</f>
        <v>0</v>
      </c>
      <c r="K1192" s="205">
        <f>J1192*H1192</f>
        <v>0</v>
      </c>
      <c r="L1192" s="206"/>
    </row>
    <row r="1193" spans="1:12" s="187" customFormat="1" x14ac:dyDescent="0.2">
      <c r="A1193" s="111" t="str">
        <f>IF(F1193&lt;&gt;"",1+MAX($A$7:A1192),"")</f>
        <v/>
      </c>
      <c r="B1193" s="45"/>
      <c r="C1193" s="45"/>
      <c r="D1193" s="214"/>
      <c r="E1193" s="215" t="s">
        <v>48</v>
      </c>
      <c r="F1193" s="216"/>
      <c r="G1193" s="217"/>
      <c r="H1193" s="33">
        <f>ROUNDUP((H1192)/32,0)</f>
        <v>10</v>
      </c>
      <c r="I1193" s="34" t="s">
        <v>49</v>
      </c>
      <c r="J1193" s="204"/>
      <c r="K1193" s="205"/>
      <c r="L1193" s="206"/>
    </row>
    <row r="1194" spans="1:12" s="187" customFormat="1" x14ac:dyDescent="0.2">
      <c r="A1194" s="111" t="str">
        <f>IF(F1194&lt;&gt;"",1+MAX($A$7:A1193),"")</f>
        <v/>
      </c>
      <c r="B1194" s="45"/>
      <c r="C1194" s="45"/>
      <c r="D1194" s="214"/>
      <c r="E1194" s="215" t="s">
        <v>50</v>
      </c>
      <c r="F1194" s="216"/>
      <c r="G1194" s="217"/>
      <c r="H1194" s="33">
        <f>ROUNDUP(H1193*24/500,0)</f>
        <v>1</v>
      </c>
      <c r="I1194" s="34" t="s">
        <v>51</v>
      </c>
      <c r="J1194" s="204"/>
      <c r="K1194" s="205"/>
      <c r="L1194" s="206"/>
    </row>
    <row r="1195" spans="1:12" s="187" customFormat="1" x14ac:dyDescent="0.2">
      <c r="A1195" s="111" t="str">
        <f>IF(F1195&lt;&gt;"",1+MAX($A$7:A1194),"")</f>
        <v/>
      </c>
      <c r="B1195" s="45"/>
      <c r="C1195" s="45"/>
      <c r="D1195" s="214"/>
      <c r="E1195" s="215" t="s">
        <v>52</v>
      </c>
      <c r="F1195" s="216"/>
      <c r="G1195" s="217"/>
      <c r="H1195" s="218">
        <f>ROUNDUP((H1192)/200,0)</f>
        <v>2</v>
      </c>
      <c r="I1195" s="34" t="s">
        <v>53</v>
      </c>
      <c r="J1195" s="204"/>
      <c r="K1195" s="205"/>
      <c r="L1195" s="206"/>
    </row>
    <row r="1196" spans="1:12" s="187" customFormat="1" x14ac:dyDescent="0.2">
      <c r="A1196" s="111" t="str">
        <f>IF(F1196&lt;&gt;"",1+MAX($A$7:A1195),"")</f>
        <v/>
      </c>
      <c r="B1196" s="45"/>
      <c r="C1196" s="45"/>
      <c r="D1196" s="214"/>
      <c r="E1196" s="215" t="s">
        <v>54</v>
      </c>
      <c r="F1196" s="216"/>
      <c r="G1196" s="217"/>
      <c r="H1196" s="218">
        <f>ROUNDUP((H1192)*5.25/1000,0)</f>
        <v>2</v>
      </c>
      <c r="I1196" s="34" t="s">
        <v>55</v>
      </c>
      <c r="J1196" s="204"/>
      <c r="K1196" s="205"/>
      <c r="L1196" s="206"/>
    </row>
    <row r="1197" spans="1:12" s="187" customFormat="1" x14ac:dyDescent="0.2">
      <c r="A1197" s="111">
        <f>IF(F1197&lt;&gt;"",1+MAX($A$7:A1196),"")</f>
        <v>417</v>
      </c>
      <c r="B1197" s="2" t="s">
        <v>112</v>
      </c>
      <c r="C1197" s="2" t="s">
        <v>111</v>
      </c>
      <c r="D1197" s="214"/>
      <c r="E1197" s="213" t="s">
        <v>109</v>
      </c>
      <c r="F1197" s="17">
        <f>29.4*2</f>
        <v>58.8</v>
      </c>
      <c r="G1197" s="127">
        <v>0.1</v>
      </c>
      <c r="H1197" s="33">
        <f>F1197*(1+G1197)</f>
        <v>64.680000000000007</v>
      </c>
      <c r="I1197" s="34" t="s">
        <v>15</v>
      </c>
      <c r="J1197" s="204">
        <f>J$148</f>
        <v>0</v>
      </c>
      <c r="K1197" s="205">
        <f>J1197*H1197</f>
        <v>0</v>
      </c>
      <c r="L1197" s="206"/>
    </row>
    <row r="1198" spans="1:12" s="187" customFormat="1" x14ac:dyDescent="0.2">
      <c r="A1198" s="111">
        <f>IF(F1198&lt;&gt;"",1+MAX($A$7:A1197),"")</f>
        <v>418</v>
      </c>
      <c r="B1198" s="2" t="s">
        <v>112</v>
      </c>
      <c r="C1198" s="2" t="s">
        <v>111</v>
      </c>
      <c r="D1198" s="212"/>
      <c r="E1198" s="213" t="s">
        <v>126</v>
      </c>
      <c r="F1198" s="17">
        <f>29.4*9</f>
        <v>264.59999999999997</v>
      </c>
      <c r="G1198" s="127">
        <v>0.1</v>
      </c>
      <c r="H1198" s="33">
        <f>F1198*(1+G1198)</f>
        <v>291.06</v>
      </c>
      <c r="I1198" s="34" t="s">
        <v>18</v>
      </c>
      <c r="J1198" s="204">
        <f>J$618</f>
        <v>0</v>
      </c>
      <c r="K1198" s="205">
        <f>J1198*H1198</f>
        <v>0</v>
      </c>
      <c r="L1198" s="206"/>
    </row>
    <row r="1199" spans="1:12" s="187" customFormat="1" x14ac:dyDescent="0.2">
      <c r="A1199" s="111">
        <f>IF(F1199&lt;&gt;"",1+MAX($A$7:A1198),"")</f>
        <v>419</v>
      </c>
      <c r="B1199" s="2" t="s">
        <v>112</v>
      </c>
      <c r="C1199" s="2" t="s">
        <v>111</v>
      </c>
      <c r="D1199" s="212"/>
      <c r="E1199" s="213" t="s">
        <v>123</v>
      </c>
      <c r="F1199" s="17">
        <f>29.4*9</f>
        <v>264.59999999999997</v>
      </c>
      <c r="G1199" s="127">
        <v>0.1</v>
      </c>
      <c r="H1199" s="33">
        <f>F1199*(1+G1199)</f>
        <v>291.06</v>
      </c>
      <c r="I1199" s="34" t="s">
        <v>18</v>
      </c>
      <c r="J1199" s="204">
        <f>J$202</f>
        <v>0</v>
      </c>
      <c r="K1199" s="205">
        <f>J1199*H1199</f>
        <v>0</v>
      </c>
      <c r="L1199" s="206"/>
    </row>
    <row r="1200" spans="1:12" s="187" customFormat="1" x14ac:dyDescent="0.2">
      <c r="A1200" s="111" t="str">
        <f>IF(F1200&lt;&gt;"",1+MAX($A$7:A1199),"")</f>
        <v/>
      </c>
      <c r="B1200" s="2"/>
      <c r="C1200" s="2"/>
      <c r="D1200" s="214"/>
      <c r="E1200" s="213"/>
      <c r="F1200" s="17"/>
      <c r="G1200" s="127"/>
      <c r="H1200" s="33"/>
      <c r="I1200" s="34"/>
      <c r="J1200" s="204"/>
      <c r="K1200" s="205"/>
      <c r="L1200" s="206"/>
    </row>
    <row r="1201" spans="1:12" s="187" customFormat="1" x14ac:dyDescent="0.2">
      <c r="A1201" s="111" t="str">
        <f>IF(F1201&lt;&gt;"",1+MAX($A$7:A1200),"")</f>
        <v/>
      </c>
      <c r="B1201" s="207"/>
      <c r="C1201" s="207"/>
      <c r="D1201" s="201"/>
      <c r="E1201" s="208" t="s">
        <v>127</v>
      </c>
      <c r="F1201" s="203"/>
      <c r="G1201" s="25"/>
      <c r="H1201" s="209"/>
      <c r="I1201" s="5"/>
      <c r="J1201" s="210"/>
      <c r="K1201" s="211"/>
      <c r="L1201" s="206"/>
    </row>
    <row r="1202" spans="1:12" s="187" customFormat="1" x14ac:dyDescent="0.2">
      <c r="A1202" s="111">
        <f>IF(F1202&lt;&gt;"",1+MAX($A$7:A1201),"")</f>
        <v>420</v>
      </c>
      <c r="B1202" s="2" t="s">
        <v>112</v>
      </c>
      <c r="C1202" s="2" t="s">
        <v>111</v>
      </c>
      <c r="D1202" s="212"/>
      <c r="E1202" s="213" t="s">
        <v>107</v>
      </c>
      <c r="F1202" s="17">
        <f>47.2*9*2</f>
        <v>849.6</v>
      </c>
      <c r="G1202" s="127">
        <v>0.1</v>
      </c>
      <c r="H1202" s="33">
        <f>F1202*(1+G1202)</f>
        <v>934.56000000000006</v>
      </c>
      <c r="I1202" s="34" t="s">
        <v>18</v>
      </c>
      <c r="J1202" s="204">
        <f>J$143</f>
        <v>0</v>
      </c>
      <c r="K1202" s="205">
        <f>J1202*H1202</f>
        <v>0</v>
      </c>
      <c r="L1202" s="206"/>
    </row>
    <row r="1203" spans="1:12" s="187" customFormat="1" x14ac:dyDescent="0.2">
      <c r="A1203" s="111" t="str">
        <f>IF(F1203&lt;&gt;"",1+MAX($A$7:A1202),"")</f>
        <v/>
      </c>
      <c r="B1203" s="45"/>
      <c r="C1203" s="45"/>
      <c r="D1203" s="214"/>
      <c r="E1203" s="215" t="s">
        <v>48</v>
      </c>
      <c r="F1203" s="216"/>
      <c r="G1203" s="217"/>
      <c r="H1203" s="33">
        <f>ROUNDUP((H1202)/32,0)</f>
        <v>30</v>
      </c>
      <c r="I1203" s="34" t="s">
        <v>49</v>
      </c>
      <c r="J1203" s="204"/>
      <c r="K1203" s="205"/>
      <c r="L1203" s="206"/>
    </row>
    <row r="1204" spans="1:12" s="187" customFormat="1" x14ac:dyDescent="0.2">
      <c r="A1204" s="111" t="str">
        <f>IF(F1204&lt;&gt;"",1+MAX($A$7:A1203),"")</f>
        <v/>
      </c>
      <c r="B1204" s="45"/>
      <c r="C1204" s="45"/>
      <c r="D1204" s="214"/>
      <c r="E1204" s="215" t="s">
        <v>50</v>
      </c>
      <c r="F1204" s="216"/>
      <c r="G1204" s="217"/>
      <c r="H1204" s="33">
        <f>ROUNDUP(H1203*24/500,0)</f>
        <v>2</v>
      </c>
      <c r="I1204" s="34" t="s">
        <v>51</v>
      </c>
      <c r="J1204" s="204"/>
      <c r="K1204" s="205"/>
      <c r="L1204" s="206"/>
    </row>
    <row r="1205" spans="1:12" s="187" customFormat="1" x14ac:dyDescent="0.2">
      <c r="A1205" s="111" t="str">
        <f>IF(F1205&lt;&gt;"",1+MAX($A$7:A1204),"")</f>
        <v/>
      </c>
      <c r="B1205" s="45"/>
      <c r="C1205" s="45"/>
      <c r="D1205" s="214"/>
      <c r="E1205" s="215" t="s">
        <v>52</v>
      </c>
      <c r="F1205" s="216"/>
      <c r="G1205" s="217"/>
      <c r="H1205" s="218">
        <f>ROUNDUP((H1202)/200,0)</f>
        <v>5</v>
      </c>
      <c r="I1205" s="34" t="s">
        <v>53</v>
      </c>
      <c r="J1205" s="204"/>
      <c r="K1205" s="205"/>
      <c r="L1205" s="206"/>
    </row>
    <row r="1206" spans="1:12" s="187" customFormat="1" x14ac:dyDescent="0.2">
      <c r="A1206" s="111" t="str">
        <f>IF(F1206&lt;&gt;"",1+MAX($A$7:A1205),"")</f>
        <v/>
      </c>
      <c r="B1206" s="45"/>
      <c r="C1206" s="45"/>
      <c r="D1206" s="214"/>
      <c r="E1206" s="215" t="s">
        <v>54</v>
      </c>
      <c r="F1206" s="216"/>
      <c r="G1206" s="217"/>
      <c r="H1206" s="218">
        <f>ROUNDUP((H1202)*5.25/1000,0)</f>
        <v>5</v>
      </c>
      <c r="I1206" s="34" t="s">
        <v>55</v>
      </c>
      <c r="J1206" s="204"/>
      <c r="K1206" s="205"/>
      <c r="L1206" s="206"/>
    </row>
    <row r="1207" spans="1:12" s="187" customFormat="1" x14ac:dyDescent="0.2">
      <c r="A1207" s="111">
        <f>IF(F1207&lt;&gt;"",1+MAX($A$7:A1206),"")</f>
        <v>421</v>
      </c>
      <c r="B1207" s="2" t="s">
        <v>112</v>
      </c>
      <c r="C1207" s="2" t="s">
        <v>111</v>
      </c>
      <c r="D1207" s="214"/>
      <c r="E1207" s="213" t="s">
        <v>109</v>
      </c>
      <c r="F1207" s="17">
        <f>47.2*4</f>
        <v>188.8</v>
      </c>
      <c r="G1207" s="127">
        <v>0.1</v>
      </c>
      <c r="H1207" s="33">
        <f>F1207*(1+G1207)</f>
        <v>207.68000000000004</v>
      </c>
      <c r="I1207" s="34" t="s">
        <v>15</v>
      </c>
      <c r="J1207" s="204">
        <f>J$148</f>
        <v>0</v>
      </c>
      <c r="K1207" s="205">
        <f>J1207*H1207</f>
        <v>0</v>
      </c>
      <c r="L1207" s="206"/>
    </row>
    <row r="1208" spans="1:12" s="187" customFormat="1" x14ac:dyDescent="0.2">
      <c r="A1208" s="111">
        <f>IF(F1208&lt;&gt;"",1+MAX($A$7:A1207),"")</f>
        <v>422</v>
      </c>
      <c r="B1208" s="2" t="s">
        <v>112</v>
      </c>
      <c r="C1208" s="2" t="s">
        <v>111</v>
      </c>
      <c r="D1208" s="212"/>
      <c r="E1208" s="213" t="s">
        <v>116</v>
      </c>
      <c r="F1208" s="17">
        <f>47.2*9</f>
        <v>424.8</v>
      </c>
      <c r="G1208" s="127">
        <v>0.1</v>
      </c>
      <c r="H1208" s="33">
        <f>F1208*(1+G1208)</f>
        <v>467.28000000000003</v>
      </c>
      <c r="I1208" s="34" t="s">
        <v>18</v>
      </c>
      <c r="J1208" s="204">
        <f>J$251</f>
        <v>0</v>
      </c>
      <c r="K1208" s="205">
        <f>J1208*H1208</f>
        <v>0</v>
      </c>
      <c r="L1208" s="206"/>
    </row>
    <row r="1209" spans="1:12" s="187" customFormat="1" x14ac:dyDescent="0.2">
      <c r="A1209" s="111">
        <f>IF(F1209&lt;&gt;"",1+MAX($A$7:A1208),"")</f>
        <v>423</v>
      </c>
      <c r="B1209" s="2" t="s">
        <v>112</v>
      </c>
      <c r="C1209" s="2" t="s">
        <v>111</v>
      </c>
      <c r="D1209" s="212"/>
      <c r="E1209" s="213" t="s">
        <v>123</v>
      </c>
      <c r="F1209" s="17">
        <f>47.2*9</f>
        <v>424.8</v>
      </c>
      <c r="G1209" s="127">
        <v>0.1</v>
      </c>
      <c r="H1209" s="33">
        <f>F1209*(1+G1209)</f>
        <v>467.28000000000003</v>
      </c>
      <c r="I1209" s="34" t="s">
        <v>18</v>
      </c>
      <c r="J1209" s="204">
        <f>J$202</f>
        <v>0</v>
      </c>
      <c r="K1209" s="205">
        <f>J1209*H1209</f>
        <v>0</v>
      </c>
      <c r="L1209" s="206"/>
    </row>
    <row r="1210" spans="1:12" s="187" customFormat="1" x14ac:dyDescent="0.2">
      <c r="A1210" s="111" t="str">
        <f>IF(F1210&lt;&gt;"",1+MAX($A$7:A1209),"")</f>
        <v/>
      </c>
      <c r="B1210" s="2"/>
      <c r="C1210" s="2"/>
      <c r="D1210" s="214"/>
      <c r="E1210" s="213"/>
      <c r="F1210" s="17"/>
      <c r="G1210" s="127"/>
      <c r="H1210" s="33"/>
      <c r="I1210" s="34"/>
      <c r="J1210" s="204"/>
      <c r="K1210" s="205"/>
      <c r="L1210" s="206"/>
    </row>
    <row r="1211" spans="1:12" s="187" customFormat="1" x14ac:dyDescent="0.2">
      <c r="A1211" s="111" t="str">
        <f>IF(F1211&lt;&gt;"",1+MAX($A$7:A1210),"")</f>
        <v/>
      </c>
      <c r="B1211" s="207"/>
      <c r="C1211" s="207"/>
      <c r="D1211" s="201"/>
      <c r="E1211" s="208" t="s">
        <v>130</v>
      </c>
      <c r="F1211" s="203"/>
      <c r="G1211" s="25"/>
      <c r="H1211" s="209"/>
      <c r="I1211" s="5"/>
      <c r="J1211" s="210"/>
      <c r="K1211" s="211"/>
      <c r="L1211" s="206"/>
    </row>
    <row r="1212" spans="1:12" s="187" customFormat="1" ht="31.5" x14ac:dyDescent="0.2">
      <c r="A1212" s="111">
        <f>IF(F1212&lt;&gt;"",1+MAX($A$7:A1211),"")</f>
        <v>424</v>
      </c>
      <c r="B1212" s="2" t="s">
        <v>112</v>
      </c>
      <c r="C1212" s="2" t="s">
        <v>111</v>
      </c>
      <c r="D1212" s="212"/>
      <c r="E1212" s="213" t="s">
        <v>72</v>
      </c>
      <c r="F1212" s="17">
        <f>(59.4+43.1)*9*2*2</f>
        <v>3690</v>
      </c>
      <c r="G1212" s="127">
        <v>0.1</v>
      </c>
      <c r="H1212" s="33">
        <f>F1212*(1+G1212)</f>
        <v>4059.0000000000005</v>
      </c>
      <c r="I1212" s="34" t="s">
        <v>18</v>
      </c>
      <c r="J1212" s="204">
        <f>J$143</f>
        <v>0</v>
      </c>
      <c r="K1212" s="205">
        <f>J1212*H1212</f>
        <v>0</v>
      </c>
      <c r="L1212" s="206"/>
    </row>
    <row r="1213" spans="1:12" s="187" customFormat="1" x14ac:dyDescent="0.2">
      <c r="A1213" s="111" t="str">
        <f>IF(F1213&lt;&gt;"",1+MAX($A$7:A1212),"")</f>
        <v/>
      </c>
      <c r="B1213" s="45"/>
      <c r="C1213" s="45"/>
      <c r="D1213" s="214"/>
      <c r="E1213" s="215" t="s">
        <v>48</v>
      </c>
      <c r="F1213" s="216"/>
      <c r="G1213" s="217"/>
      <c r="H1213" s="33">
        <f>ROUNDUP((H1212)/32,0)</f>
        <v>127</v>
      </c>
      <c r="I1213" s="34" t="s">
        <v>49</v>
      </c>
      <c r="J1213" s="204"/>
      <c r="K1213" s="205"/>
      <c r="L1213" s="206"/>
    </row>
    <row r="1214" spans="1:12" s="187" customFormat="1" x14ac:dyDescent="0.2">
      <c r="A1214" s="111" t="str">
        <f>IF(F1214&lt;&gt;"",1+MAX($A$7:A1213),"")</f>
        <v/>
      </c>
      <c r="B1214" s="45"/>
      <c r="C1214" s="45"/>
      <c r="D1214" s="214"/>
      <c r="E1214" s="215" t="s">
        <v>50</v>
      </c>
      <c r="F1214" s="216"/>
      <c r="G1214" s="217"/>
      <c r="H1214" s="33">
        <f>ROUNDUP(H1213*24/500,0)</f>
        <v>7</v>
      </c>
      <c r="I1214" s="34" t="s">
        <v>51</v>
      </c>
      <c r="J1214" s="204"/>
      <c r="K1214" s="205"/>
      <c r="L1214" s="206"/>
    </row>
    <row r="1215" spans="1:12" s="187" customFormat="1" x14ac:dyDescent="0.2">
      <c r="A1215" s="111" t="str">
        <f>IF(F1215&lt;&gt;"",1+MAX($A$7:A1214),"")</f>
        <v/>
      </c>
      <c r="B1215" s="45"/>
      <c r="C1215" s="45"/>
      <c r="D1215" s="214"/>
      <c r="E1215" s="215" t="s">
        <v>52</v>
      </c>
      <c r="F1215" s="216"/>
      <c r="G1215" s="217"/>
      <c r="H1215" s="218">
        <f>ROUNDUP((H1212)/200,0)</f>
        <v>21</v>
      </c>
      <c r="I1215" s="34" t="s">
        <v>53</v>
      </c>
      <c r="J1215" s="204"/>
      <c r="K1215" s="205"/>
      <c r="L1215" s="206"/>
    </row>
    <row r="1216" spans="1:12" s="187" customFormat="1" x14ac:dyDescent="0.2">
      <c r="A1216" s="111" t="str">
        <f>IF(F1216&lt;&gt;"",1+MAX($A$7:A1215),"")</f>
        <v/>
      </c>
      <c r="B1216" s="45"/>
      <c r="C1216" s="45"/>
      <c r="D1216" s="214"/>
      <c r="E1216" s="215" t="s">
        <v>54</v>
      </c>
      <c r="F1216" s="216"/>
      <c r="G1216" s="217"/>
      <c r="H1216" s="218">
        <f>ROUNDUP((H1212)*5.25/1000,0)</f>
        <v>22</v>
      </c>
      <c r="I1216" s="34" t="s">
        <v>55</v>
      </c>
      <c r="J1216" s="204"/>
      <c r="K1216" s="205"/>
      <c r="L1216" s="206"/>
    </row>
    <row r="1217" spans="1:12" s="187" customFormat="1" x14ac:dyDescent="0.2">
      <c r="A1217" s="111">
        <f>IF(F1217&lt;&gt;"",1+MAX($A$7:A1216),"")</f>
        <v>425</v>
      </c>
      <c r="B1217" s="2" t="s">
        <v>112</v>
      </c>
      <c r="C1217" s="2" t="s">
        <v>111</v>
      </c>
      <c r="D1217" s="214"/>
      <c r="E1217" s="213" t="s">
        <v>109</v>
      </c>
      <c r="F1217" s="17">
        <f>(59.4+43.1)*4</f>
        <v>410</v>
      </c>
      <c r="G1217" s="127">
        <v>0.1</v>
      </c>
      <c r="H1217" s="33">
        <f>F1217*(1+G1217)</f>
        <v>451.00000000000006</v>
      </c>
      <c r="I1217" s="34" t="s">
        <v>15</v>
      </c>
      <c r="J1217" s="204">
        <f>J$148</f>
        <v>0</v>
      </c>
      <c r="K1217" s="205">
        <f>J1217*H1217</f>
        <v>0</v>
      </c>
      <c r="L1217" s="206"/>
    </row>
    <row r="1218" spans="1:12" s="187" customFormat="1" x14ac:dyDescent="0.2">
      <c r="A1218" s="111">
        <f>IF(F1218&lt;&gt;"",1+MAX($A$7:A1217),"")</f>
        <v>426</v>
      </c>
      <c r="B1218" s="2" t="s">
        <v>112</v>
      </c>
      <c r="C1218" s="2" t="s">
        <v>111</v>
      </c>
      <c r="D1218" s="212"/>
      <c r="E1218" s="213" t="s">
        <v>118</v>
      </c>
      <c r="F1218" s="17">
        <f>(59.4+43.1)*9</f>
        <v>922.5</v>
      </c>
      <c r="G1218" s="127">
        <v>0.1</v>
      </c>
      <c r="H1218" s="33">
        <f>F1218*(1+G1218)</f>
        <v>1014.7500000000001</v>
      </c>
      <c r="I1218" s="34" t="s">
        <v>18</v>
      </c>
      <c r="J1218" s="204">
        <f>J$187</f>
        <v>0</v>
      </c>
      <c r="K1218" s="205">
        <f>J1218*H1218</f>
        <v>0</v>
      </c>
      <c r="L1218" s="206"/>
    </row>
    <row r="1219" spans="1:12" s="187" customFormat="1" x14ac:dyDescent="0.2">
      <c r="A1219" s="111">
        <f>IF(F1219&lt;&gt;"",1+MAX($A$7:A1218),"")</f>
        <v>427</v>
      </c>
      <c r="B1219" s="2" t="s">
        <v>112</v>
      </c>
      <c r="C1219" s="2" t="s">
        <v>111</v>
      </c>
      <c r="D1219" s="212"/>
      <c r="E1219" s="213" t="s">
        <v>123</v>
      </c>
      <c r="F1219" s="17">
        <f>(59.4+43.1)*9</f>
        <v>922.5</v>
      </c>
      <c r="G1219" s="127">
        <v>0.1</v>
      </c>
      <c r="H1219" s="33">
        <f>F1219*(1+G1219)</f>
        <v>1014.7500000000001</v>
      </c>
      <c r="I1219" s="34" t="s">
        <v>18</v>
      </c>
      <c r="J1219" s="204">
        <f>J$202</f>
        <v>0</v>
      </c>
      <c r="K1219" s="205">
        <f>J1219*H1219</f>
        <v>0</v>
      </c>
      <c r="L1219" s="206"/>
    </row>
    <row r="1220" spans="1:12" s="187" customFormat="1" x14ac:dyDescent="0.2">
      <c r="A1220" s="111" t="str">
        <f>IF(F1220&lt;&gt;"",1+MAX($A$7:A1219),"")</f>
        <v/>
      </c>
      <c r="B1220" s="2"/>
      <c r="C1220" s="2"/>
      <c r="D1220" s="214"/>
      <c r="E1220" s="213"/>
      <c r="F1220" s="17"/>
      <c r="G1220" s="127"/>
      <c r="H1220" s="33"/>
      <c r="I1220" s="34"/>
      <c r="J1220" s="204"/>
      <c r="K1220" s="205"/>
      <c r="L1220" s="206"/>
    </row>
    <row r="1221" spans="1:12" s="187" customFormat="1" x14ac:dyDescent="0.2">
      <c r="A1221" s="111" t="str">
        <f>IF(F1221&lt;&gt;"",1+MAX($A$7:A1220),"")</f>
        <v/>
      </c>
      <c r="B1221" s="207"/>
      <c r="C1221" s="207"/>
      <c r="D1221" s="201"/>
      <c r="E1221" s="208" t="s">
        <v>132</v>
      </c>
      <c r="F1221" s="203"/>
      <c r="G1221" s="25"/>
      <c r="H1221" s="209"/>
      <c r="I1221" s="5"/>
      <c r="J1221" s="210"/>
      <c r="K1221" s="211"/>
      <c r="L1221" s="206"/>
    </row>
    <row r="1222" spans="1:12" s="187" customFormat="1" ht="31.5" x14ac:dyDescent="0.2">
      <c r="A1222" s="111">
        <f>IF(F1222&lt;&gt;"",1+MAX($A$7:A1221),"")</f>
        <v>428</v>
      </c>
      <c r="B1222" s="2" t="s">
        <v>112</v>
      </c>
      <c r="C1222" s="2" t="s">
        <v>111</v>
      </c>
      <c r="D1222" s="212"/>
      <c r="E1222" s="213" t="s">
        <v>205</v>
      </c>
      <c r="F1222" s="17">
        <f>32.7*9</f>
        <v>294.3</v>
      </c>
      <c r="G1222" s="127">
        <v>0.1</v>
      </c>
      <c r="H1222" s="33">
        <f>F1222*(1+G1222)</f>
        <v>323.73</v>
      </c>
      <c r="I1222" s="34" t="s">
        <v>18</v>
      </c>
      <c r="J1222" s="204">
        <f>J$160</f>
        <v>0</v>
      </c>
      <c r="K1222" s="205">
        <f>J1222*H1222</f>
        <v>0</v>
      </c>
      <c r="L1222" s="206"/>
    </row>
    <row r="1223" spans="1:12" s="187" customFormat="1" x14ac:dyDescent="0.2">
      <c r="A1223" s="111" t="str">
        <f>IF(F1223&lt;&gt;"",1+MAX($A$7:A1222),"")</f>
        <v/>
      </c>
      <c r="B1223" s="45"/>
      <c r="C1223" s="45"/>
      <c r="D1223" s="214"/>
      <c r="E1223" s="215" t="s">
        <v>48</v>
      </c>
      <c r="F1223" s="216"/>
      <c r="G1223" s="217"/>
      <c r="H1223" s="33">
        <f>ROUNDUP((H1222)/32,0)</f>
        <v>11</v>
      </c>
      <c r="I1223" s="34" t="s">
        <v>49</v>
      </c>
      <c r="J1223" s="204"/>
      <c r="K1223" s="205"/>
      <c r="L1223" s="206"/>
    </row>
    <row r="1224" spans="1:12" s="187" customFormat="1" x14ac:dyDescent="0.2">
      <c r="A1224" s="111" t="str">
        <f>IF(F1224&lt;&gt;"",1+MAX($A$7:A1223),"")</f>
        <v/>
      </c>
      <c r="B1224" s="45"/>
      <c r="C1224" s="45"/>
      <c r="D1224" s="214"/>
      <c r="E1224" s="215" t="s">
        <v>50</v>
      </c>
      <c r="F1224" s="216"/>
      <c r="G1224" s="217"/>
      <c r="H1224" s="33">
        <f>ROUNDUP(H1223*24/500,0)</f>
        <v>1</v>
      </c>
      <c r="I1224" s="34" t="s">
        <v>51</v>
      </c>
      <c r="J1224" s="204"/>
      <c r="K1224" s="205"/>
      <c r="L1224" s="206"/>
    </row>
    <row r="1225" spans="1:12" s="187" customFormat="1" x14ac:dyDescent="0.2">
      <c r="A1225" s="111" t="str">
        <f>IF(F1225&lt;&gt;"",1+MAX($A$7:A1224),"")</f>
        <v/>
      </c>
      <c r="B1225" s="45"/>
      <c r="C1225" s="45"/>
      <c r="D1225" s="214"/>
      <c r="E1225" s="215" t="s">
        <v>52</v>
      </c>
      <c r="F1225" s="216"/>
      <c r="G1225" s="217"/>
      <c r="H1225" s="218">
        <f>ROUNDUP((H1222)/200,0)</f>
        <v>2</v>
      </c>
      <c r="I1225" s="34" t="s">
        <v>53</v>
      </c>
      <c r="J1225" s="204"/>
      <c r="K1225" s="205"/>
      <c r="L1225" s="206"/>
    </row>
    <row r="1226" spans="1:12" s="187" customFormat="1" x14ac:dyDescent="0.2">
      <c r="A1226" s="111" t="str">
        <f>IF(F1226&lt;&gt;"",1+MAX($A$7:A1225),"")</f>
        <v/>
      </c>
      <c r="B1226" s="45"/>
      <c r="C1226" s="45"/>
      <c r="D1226" s="214"/>
      <c r="E1226" s="215" t="s">
        <v>54</v>
      </c>
      <c r="F1226" s="216"/>
      <c r="G1226" s="217"/>
      <c r="H1226" s="218">
        <f>ROUNDUP((H1222)*5.25/1000,0)</f>
        <v>2</v>
      </c>
      <c r="I1226" s="34" t="s">
        <v>55</v>
      </c>
      <c r="J1226" s="204"/>
      <c r="K1226" s="205"/>
      <c r="L1226" s="206"/>
    </row>
    <row r="1227" spans="1:12" s="187" customFormat="1" x14ac:dyDescent="0.2">
      <c r="A1227" s="111">
        <f>IF(F1227&lt;&gt;"",1+MAX($A$7:A1226),"")</f>
        <v>429</v>
      </c>
      <c r="B1227" s="2" t="s">
        <v>112</v>
      </c>
      <c r="C1227" s="2" t="s">
        <v>111</v>
      </c>
      <c r="D1227" s="214"/>
      <c r="E1227" s="213" t="s">
        <v>109</v>
      </c>
      <c r="F1227" s="17">
        <f>32.7*2</f>
        <v>65.400000000000006</v>
      </c>
      <c r="G1227" s="127">
        <v>0.1</v>
      </c>
      <c r="H1227" s="33">
        <f>F1227*(1+G1227)</f>
        <v>71.940000000000012</v>
      </c>
      <c r="I1227" s="34" t="s">
        <v>15</v>
      </c>
      <c r="J1227" s="204">
        <f>J$148</f>
        <v>0</v>
      </c>
      <c r="K1227" s="205">
        <f>J1227*H1227</f>
        <v>0</v>
      </c>
      <c r="L1227" s="206"/>
    </row>
    <row r="1228" spans="1:12" s="187" customFormat="1" x14ac:dyDescent="0.2">
      <c r="A1228" s="111">
        <f>IF(F1228&lt;&gt;"",1+MAX($A$7:A1227),"")</f>
        <v>430</v>
      </c>
      <c r="B1228" s="2" t="s">
        <v>112</v>
      </c>
      <c r="C1228" s="2" t="s">
        <v>111</v>
      </c>
      <c r="D1228" s="212"/>
      <c r="E1228" s="213" t="s">
        <v>133</v>
      </c>
      <c r="F1228" s="17">
        <f>32.7*9</f>
        <v>294.3</v>
      </c>
      <c r="G1228" s="127">
        <v>0.1</v>
      </c>
      <c r="H1228" s="33">
        <f>F1228*(1+G1228)</f>
        <v>323.73</v>
      </c>
      <c r="I1228" s="34" t="s">
        <v>18</v>
      </c>
      <c r="J1228" s="204">
        <f>J$149</f>
        <v>0</v>
      </c>
      <c r="K1228" s="205">
        <f>J1228*H1228</f>
        <v>0</v>
      </c>
      <c r="L1228" s="206"/>
    </row>
    <row r="1229" spans="1:12" s="187" customFormat="1" x14ac:dyDescent="0.2">
      <c r="A1229" s="111" t="str">
        <f>IF(F1229&lt;&gt;"",1+MAX($A$7:A1228),"")</f>
        <v/>
      </c>
      <c r="B1229" s="2"/>
      <c r="C1229" s="2"/>
      <c r="D1229" s="214"/>
      <c r="E1229" s="243" t="s">
        <v>56</v>
      </c>
      <c r="F1229" s="17"/>
      <c r="G1229" s="127"/>
      <c r="H1229" s="33">
        <f>(32.7/1.167+1)</f>
        <v>29.020565552699232</v>
      </c>
      <c r="I1229" s="34" t="s">
        <v>20</v>
      </c>
      <c r="J1229" s="204"/>
      <c r="K1229" s="205"/>
      <c r="L1229" s="206"/>
    </row>
    <row r="1230" spans="1:12" s="187" customFormat="1" x14ac:dyDescent="0.2">
      <c r="A1230" s="111">
        <f>IF(F1230&lt;&gt;"",1+MAX($A$7:A1229),"")</f>
        <v>431</v>
      </c>
      <c r="B1230" s="2" t="s">
        <v>112</v>
      </c>
      <c r="C1230" s="2" t="s">
        <v>111</v>
      </c>
      <c r="D1230" s="214"/>
      <c r="E1230" s="213" t="s">
        <v>134</v>
      </c>
      <c r="F1230" s="17">
        <f>32.7*2</f>
        <v>65.400000000000006</v>
      </c>
      <c r="G1230" s="127">
        <v>0.1</v>
      </c>
      <c r="H1230" s="33">
        <f>F1230*(1+G1230)</f>
        <v>71.940000000000012</v>
      </c>
      <c r="I1230" s="34" t="s">
        <v>15</v>
      </c>
      <c r="J1230" s="204">
        <f>J$151</f>
        <v>0</v>
      </c>
      <c r="K1230" s="205">
        <f>J1230*H1230</f>
        <v>0</v>
      </c>
      <c r="L1230" s="206"/>
    </row>
    <row r="1231" spans="1:12" s="187" customFormat="1" x14ac:dyDescent="0.2">
      <c r="A1231" s="111">
        <f>IF(F1231&lt;&gt;"",1+MAX($A$7:A1230),"")</f>
        <v>432</v>
      </c>
      <c r="B1231" s="2" t="s">
        <v>112</v>
      </c>
      <c r="C1231" s="2" t="s">
        <v>111</v>
      </c>
      <c r="D1231" s="214"/>
      <c r="E1231" s="628" t="s">
        <v>135</v>
      </c>
      <c r="F1231" s="461">
        <f>32.7</f>
        <v>32.700000000000003</v>
      </c>
      <c r="G1231" s="127">
        <v>0.1</v>
      </c>
      <c r="H1231" s="33">
        <f>F1231*(1+G1231)</f>
        <v>35.970000000000006</v>
      </c>
      <c r="I1231" s="34" t="s">
        <v>15</v>
      </c>
      <c r="J1231" s="204">
        <f>J$309</f>
        <v>0</v>
      </c>
      <c r="K1231" s="205">
        <f>J1231*H1231</f>
        <v>0</v>
      </c>
      <c r="L1231" s="206"/>
    </row>
    <row r="1232" spans="1:12" s="187" customFormat="1" x14ac:dyDescent="0.2">
      <c r="A1232" s="111" t="str">
        <f>IF(F1232&lt;&gt;"",1+MAX($A$7:A1231),"")</f>
        <v/>
      </c>
      <c r="B1232" s="2"/>
      <c r="C1232" s="2"/>
      <c r="D1232" s="214"/>
      <c r="E1232" s="213"/>
      <c r="F1232" s="17"/>
      <c r="G1232" s="127"/>
      <c r="H1232" s="33"/>
      <c r="I1232" s="34"/>
      <c r="J1232" s="204"/>
      <c r="K1232" s="205"/>
      <c r="L1232" s="206"/>
    </row>
    <row r="1233" spans="1:12" s="187" customFormat="1" x14ac:dyDescent="0.2">
      <c r="A1233" s="111" t="str">
        <f>IF(F1233&lt;&gt;"",1+MAX($A$7:A1232),"")</f>
        <v/>
      </c>
      <c r="B1233" s="207"/>
      <c r="C1233" s="207"/>
      <c r="D1233" s="201"/>
      <c r="E1233" s="208" t="s">
        <v>139</v>
      </c>
      <c r="F1233" s="203"/>
      <c r="G1233" s="25"/>
      <c r="H1233" s="209"/>
      <c r="I1233" s="5"/>
      <c r="J1233" s="210"/>
      <c r="K1233" s="211"/>
      <c r="L1233" s="206"/>
    </row>
    <row r="1234" spans="1:12" s="187" customFormat="1" x14ac:dyDescent="0.2">
      <c r="A1234" s="111">
        <f>IF(F1234&lt;&gt;"",1+MAX($A$7:A1233),"")</f>
        <v>433</v>
      </c>
      <c r="B1234" s="2" t="s">
        <v>112</v>
      </c>
      <c r="C1234" s="2" t="s">
        <v>111</v>
      </c>
      <c r="D1234" s="212"/>
      <c r="E1234" s="213" t="s">
        <v>107</v>
      </c>
      <c r="F1234" s="17">
        <f>9.5*9*2</f>
        <v>171</v>
      </c>
      <c r="G1234" s="127">
        <v>0.1</v>
      </c>
      <c r="H1234" s="33">
        <f>F1234*(1+G1234)</f>
        <v>188.10000000000002</v>
      </c>
      <c r="I1234" s="34" t="s">
        <v>18</v>
      </c>
      <c r="J1234" s="204">
        <f>J$143</f>
        <v>0</v>
      </c>
      <c r="K1234" s="205">
        <f>J1234*H1234</f>
        <v>0</v>
      </c>
      <c r="L1234" s="206"/>
    </row>
    <row r="1235" spans="1:12" s="187" customFormat="1" x14ac:dyDescent="0.2">
      <c r="A1235" s="111" t="str">
        <f>IF(F1235&lt;&gt;"",1+MAX($A$7:A1234),"")</f>
        <v/>
      </c>
      <c r="B1235" s="45"/>
      <c r="C1235" s="45"/>
      <c r="D1235" s="214"/>
      <c r="E1235" s="215" t="s">
        <v>48</v>
      </c>
      <c r="F1235" s="216"/>
      <c r="G1235" s="217"/>
      <c r="H1235" s="33">
        <f>ROUNDUP((H1234)/32,0)</f>
        <v>6</v>
      </c>
      <c r="I1235" s="34" t="s">
        <v>49</v>
      </c>
      <c r="J1235" s="204"/>
      <c r="K1235" s="205"/>
      <c r="L1235" s="206"/>
    </row>
    <row r="1236" spans="1:12" s="187" customFormat="1" x14ac:dyDescent="0.2">
      <c r="A1236" s="111" t="str">
        <f>IF(F1236&lt;&gt;"",1+MAX($A$7:A1235),"")</f>
        <v/>
      </c>
      <c r="B1236" s="45"/>
      <c r="C1236" s="45"/>
      <c r="D1236" s="214"/>
      <c r="E1236" s="215" t="s">
        <v>50</v>
      </c>
      <c r="F1236" s="216"/>
      <c r="G1236" s="217"/>
      <c r="H1236" s="33">
        <f>ROUNDUP(H1235*24/500,0)</f>
        <v>1</v>
      </c>
      <c r="I1236" s="34" t="s">
        <v>51</v>
      </c>
      <c r="J1236" s="204"/>
      <c r="K1236" s="205"/>
      <c r="L1236" s="206"/>
    </row>
    <row r="1237" spans="1:12" s="187" customFormat="1" x14ac:dyDescent="0.2">
      <c r="A1237" s="111" t="str">
        <f>IF(F1237&lt;&gt;"",1+MAX($A$7:A1236),"")</f>
        <v/>
      </c>
      <c r="B1237" s="45"/>
      <c r="C1237" s="45"/>
      <c r="D1237" s="214"/>
      <c r="E1237" s="215" t="s">
        <v>52</v>
      </c>
      <c r="F1237" s="216"/>
      <c r="G1237" s="217"/>
      <c r="H1237" s="218">
        <f>ROUNDUP((H1234)/200,0)</f>
        <v>1</v>
      </c>
      <c r="I1237" s="34" t="s">
        <v>53</v>
      </c>
      <c r="J1237" s="204"/>
      <c r="K1237" s="205"/>
      <c r="L1237" s="206"/>
    </row>
    <row r="1238" spans="1:12" s="187" customFormat="1" x14ac:dyDescent="0.2">
      <c r="A1238" s="111" t="str">
        <f>IF(F1238&lt;&gt;"",1+MAX($A$7:A1237),"")</f>
        <v/>
      </c>
      <c r="B1238" s="45"/>
      <c r="C1238" s="45"/>
      <c r="D1238" s="214"/>
      <c r="E1238" s="215" t="s">
        <v>54</v>
      </c>
      <c r="F1238" s="216"/>
      <c r="G1238" s="217"/>
      <c r="H1238" s="218">
        <f>ROUNDUP((H1234)*5.25/1000,0)</f>
        <v>1</v>
      </c>
      <c r="I1238" s="34" t="s">
        <v>55</v>
      </c>
      <c r="J1238" s="204"/>
      <c r="K1238" s="205"/>
      <c r="L1238" s="206"/>
    </row>
    <row r="1239" spans="1:12" s="187" customFormat="1" x14ac:dyDescent="0.2">
      <c r="A1239" s="111">
        <f>IF(F1239&lt;&gt;"",1+MAX($A$7:A1238),"")</f>
        <v>434</v>
      </c>
      <c r="B1239" s="2" t="s">
        <v>112</v>
      </c>
      <c r="C1239" s="2" t="s">
        <v>111</v>
      </c>
      <c r="D1239" s="214"/>
      <c r="E1239" s="213" t="s">
        <v>109</v>
      </c>
      <c r="F1239" s="17">
        <f>9.5*4</f>
        <v>38</v>
      </c>
      <c r="G1239" s="127">
        <v>0.1</v>
      </c>
      <c r="H1239" s="33">
        <f>F1239*(1+G1239)</f>
        <v>41.800000000000004</v>
      </c>
      <c r="I1239" s="34" t="s">
        <v>15</v>
      </c>
      <c r="J1239" s="204">
        <f>J$148</f>
        <v>0</v>
      </c>
      <c r="K1239" s="205">
        <f>J1239*H1239</f>
        <v>0</v>
      </c>
      <c r="L1239" s="206"/>
    </row>
    <row r="1240" spans="1:12" s="187" customFormat="1" x14ac:dyDescent="0.2">
      <c r="A1240" s="111">
        <f>IF(F1240&lt;&gt;"",1+MAX($A$7:A1239),"")</f>
        <v>435</v>
      </c>
      <c r="B1240" s="2" t="s">
        <v>112</v>
      </c>
      <c r="C1240" s="2" t="s">
        <v>111</v>
      </c>
      <c r="D1240" s="212"/>
      <c r="E1240" s="213" t="s">
        <v>484</v>
      </c>
      <c r="F1240" s="17">
        <f>9.5*9</f>
        <v>85.5</v>
      </c>
      <c r="G1240" s="127">
        <v>0.1</v>
      </c>
      <c r="H1240" s="33">
        <f>F1240*(1+G1240)</f>
        <v>94.050000000000011</v>
      </c>
      <c r="I1240" s="34" t="s">
        <v>18</v>
      </c>
      <c r="J1240" s="204">
        <f>J$276</f>
        <v>0</v>
      </c>
      <c r="K1240" s="205">
        <f>J1240*H1240</f>
        <v>0</v>
      </c>
      <c r="L1240" s="206"/>
    </row>
    <row r="1241" spans="1:12" s="187" customFormat="1" x14ac:dyDescent="0.2">
      <c r="A1241" s="111">
        <f>IF(F1241&lt;&gt;"",1+MAX($A$7:A1240),"")</f>
        <v>436</v>
      </c>
      <c r="B1241" s="2" t="s">
        <v>112</v>
      </c>
      <c r="C1241" s="2" t="s">
        <v>111</v>
      </c>
      <c r="D1241" s="212"/>
      <c r="E1241" s="213" t="s">
        <v>123</v>
      </c>
      <c r="F1241" s="17">
        <f>9.5*9</f>
        <v>85.5</v>
      </c>
      <c r="G1241" s="127">
        <v>0.1</v>
      </c>
      <c r="H1241" s="33">
        <f>F1241*(1+G1241)</f>
        <v>94.050000000000011</v>
      </c>
      <c r="I1241" s="34" t="s">
        <v>18</v>
      </c>
      <c r="J1241" s="204">
        <f>J$202</f>
        <v>0</v>
      </c>
      <c r="K1241" s="205">
        <f>J1241*H1241</f>
        <v>0</v>
      </c>
      <c r="L1241" s="206"/>
    </row>
    <row r="1242" spans="1:12" s="187" customFormat="1" x14ac:dyDescent="0.2">
      <c r="A1242" s="111" t="str">
        <f>IF(F1242&lt;&gt;"",1+MAX($A$7:A1241),"")</f>
        <v/>
      </c>
      <c r="B1242" s="2"/>
      <c r="C1242" s="2"/>
      <c r="D1242" s="214"/>
      <c r="E1242" s="213"/>
      <c r="F1242" s="17"/>
      <c r="G1242" s="127"/>
      <c r="H1242" s="33"/>
      <c r="I1242" s="34"/>
      <c r="J1242" s="204"/>
      <c r="K1242" s="205"/>
      <c r="L1242" s="206"/>
    </row>
    <row r="1243" spans="1:12" s="187" customFormat="1" x14ac:dyDescent="0.2">
      <c r="A1243" s="111" t="str">
        <f>IF(F1243&lt;&gt;"",1+MAX($A$7:A1242),"")</f>
        <v/>
      </c>
      <c r="B1243" s="207"/>
      <c r="C1243" s="207"/>
      <c r="D1243" s="201"/>
      <c r="E1243" s="208" t="s">
        <v>151</v>
      </c>
      <c r="F1243" s="203"/>
      <c r="G1243" s="25"/>
      <c r="H1243" s="209"/>
      <c r="I1243" s="5"/>
      <c r="J1243" s="210"/>
      <c r="K1243" s="211"/>
      <c r="L1243" s="206"/>
    </row>
    <row r="1244" spans="1:12" s="187" customFormat="1" ht="31.5" x14ac:dyDescent="0.2">
      <c r="A1244" s="111">
        <f>IF(F1244&lt;&gt;"",1+MAX($A$7:A1243),"")</f>
        <v>437</v>
      </c>
      <c r="B1244" s="2" t="s">
        <v>112</v>
      </c>
      <c r="C1244" s="2" t="s">
        <v>111</v>
      </c>
      <c r="D1244" s="212"/>
      <c r="E1244" s="213" t="s">
        <v>72</v>
      </c>
      <c r="F1244" s="17">
        <f>3.3*9*2*2</f>
        <v>118.8</v>
      </c>
      <c r="G1244" s="127">
        <v>0.1</v>
      </c>
      <c r="H1244" s="33">
        <f>F1244*(1+G1244)</f>
        <v>130.68</v>
      </c>
      <c r="I1244" s="34" t="s">
        <v>18</v>
      </c>
      <c r="J1244" s="204">
        <f>J$143</f>
        <v>0</v>
      </c>
      <c r="K1244" s="205">
        <f>J1244*H1244</f>
        <v>0</v>
      </c>
      <c r="L1244" s="206"/>
    </row>
    <row r="1245" spans="1:12" s="187" customFormat="1" x14ac:dyDescent="0.2">
      <c r="A1245" s="111" t="str">
        <f>IF(F1245&lt;&gt;"",1+MAX($A$7:A1244),"")</f>
        <v/>
      </c>
      <c r="B1245" s="45"/>
      <c r="C1245" s="45"/>
      <c r="D1245" s="214"/>
      <c r="E1245" s="215" t="s">
        <v>48</v>
      </c>
      <c r="F1245" s="216"/>
      <c r="G1245" s="217"/>
      <c r="H1245" s="33">
        <f>ROUNDUP((H1244)/32,0)</f>
        <v>5</v>
      </c>
      <c r="I1245" s="34" t="s">
        <v>49</v>
      </c>
      <c r="J1245" s="204"/>
      <c r="K1245" s="205"/>
      <c r="L1245" s="206"/>
    </row>
    <row r="1246" spans="1:12" s="187" customFormat="1" x14ac:dyDescent="0.2">
      <c r="A1246" s="111" t="str">
        <f>IF(F1246&lt;&gt;"",1+MAX($A$7:A1245),"")</f>
        <v/>
      </c>
      <c r="B1246" s="45"/>
      <c r="C1246" s="45"/>
      <c r="D1246" s="214"/>
      <c r="E1246" s="215" t="s">
        <v>50</v>
      </c>
      <c r="F1246" s="216"/>
      <c r="G1246" s="217"/>
      <c r="H1246" s="33">
        <f>ROUNDUP(H1245*24/500,0)</f>
        <v>1</v>
      </c>
      <c r="I1246" s="34" t="s">
        <v>51</v>
      </c>
      <c r="J1246" s="204"/>
      <c r="K1246" s="205"/>
      <c r="L1246" s="206"/>
    </row>
    <row r="1247" spans="1:12" s="187" customFormat="1" x14ac:dyDescent="0.2">
      <c r="A1247" s="111" t="str">
        <f>IF(F1247&lt;&gt;"",1+MAX($A$7:A1246),"")</f>
        <v/>
      </c>
      <c r="B1247" s="45"/>
      <c r="C1247" s="45"/>
      <c r="D1247" s="214"/>
      <c r="E1247" s="215" t="s">
        <v>52</v>
      </c>
      <c r="F1247" s="216"/>
      <c r="G1247" s="217"/>
      <c r="H1247" s="218">
        <f>ROUNDUP((H1244)/200,0)</f>
        <v>1</v>
      </c>
      <c r="I1247" s="34" t="s">
        <v>53</v>
      </c>
      <c r="J1247" s="204"/>
      <c r="K1247" s="205"/>
      <c r="L1247" s="206"/>
    </row>
    <row r="1248" spans="1:12" s="187" customFormat="1" x14ac:dyDescent="0.2">
      <c r="A1248" s="111" t="str">
        <f>IF(F1248&lt;&gt;"",1+MAX($A$7:A1247),"")</f>
        <v/>
      </c>
      <c r="B1248" s="45"/>
      <c r="C1248" s="45"/>
      <c r="D1248" s="214"/>
      <c r="E1248" s="215" t="s">
        <v>54</v>
      </c>
      <c r="F1248" s="216"/>
      <c r="G1248" s="217"/>
      <c r="H1248" s="218">
        <f>ROUNDUP((H1244)*5.25/1000,0)</f>
        <v>1</v>
      </c>
      <c r="I1248" s="34" t="s">
        <v>55</v>
      </c>
      <c r="J1248" s="204"/>
      <c r="K1248" s="205"/>
      <c r="L1248" s="206"/>
    </row>
    <row r="1249" spans="1:12" s="187" customFormat="1" x14ac:dyDescent="0.2">
      <c r="A1249" s="111">
        <f>IF(F1249&lt;&gt;"",1+MAX($A$7:A1248),"")</f>
        <v>438</v>
      </c>
      <c r="B1249" s="2" t="s">
        <v>112</v>
      </c>
      <c r="C1249" s="2" t="s">
        <v>111</v>
      </c>
      <c r="D1249" s="214"/>
      <c r="E1249" s="213" t="s">
        <v>109</v>
      </c>
      <c r="F1249" s="17">
        <f>3.3*4</f>
        <v>13.2</v>
      </c>
      <c r="G1249" s="127">
        <v>0.1</v>
      </c>
      <c r="H1249" s="33">
        <f>F1249*(1+G1249)</f>
        <v>14.52</v>
      </c>
      <c r="I1249" s="34" t="s">
        <v>15</v>
      </c>
      <c r="J1249" s="204">
        <f>J$148</f>
        <v>0</v>
      </c>
      <c r="K1249" s="205">
        <f>J1249*H1249</f>
        <v>0</v>
      </c>
      <c r="L1249" s="206"/>
    </row>
    <row r="1250" spans="1:12" s="187" customFormat="1" x14ac:dyDescent="0.2">
      <c r="A1250" s="111">
        <f>IF(F1250&lt;&gt;"",1+MAX($A$7:A1249),"")</f>
        <v>439</v>
      </c>
      <c r="B1250" s="2" t="s">
        <v>112</v>
      </c>
      <c r="C1250" s="2" t="s">
        <v>111</v>
      </c>
      <c r="D1250" s="212"/>
      <c r="E1250" s="213" t="s">
        <v>133</v>
      </c>
      <c r="F1250" s="17">
        <f>3.3*9</f>
        <v>29.7</v>
      </c>
      <c r="G1250" s="127">
        <v>0.1</v>
      </c>
      <c r="H1250" s="33">
        <f>F1250*(1+G1250)</f>
        <v>32.67</v>
      </c>
      <c r="I1250" s="34" t="s">
        <v>18</v>
      </c>
      <c r="J1250" s="204">
        <f>J$149</f>
        <v>0</v>
      </c>
      <c r="K1250" s="205">
        <f>J1250*H1250</f>
        <v>0</v>
      </c>
      <c r="L1250" s="206"/>
    </row>
    <row r="1251" spans="1:12" s="187" customFormat="1" x14ac:dyDescent="0.2">
      <c r="A1251" s="111" t="str">
        <f>IF(F1251&lt;&gt;"",1+MAX($A$7:A1250),"")</f>
        <v/>
      </c>
      <c r="B1251" s="2"/>
      <c r="C1251" s="2"/>
      <c r="D1251" s="214"/>
      <c r="E1251" s="243" t="s">
        <v>56</v>
      </c>
      <c r="F1251" s="17"/>
      <c r="G1251" s="127"/>
      <c r="H1251" s="33">
        <f>(3.3/1.167+1)</f>
        <v>3.8277634961439588</v>
      </c>
      <c r="I1251" s="34" t="s">
        <v>20</v>
      </c>
      <c r="J1251" s="204"/>
      <c r="K1251" s="205"/>
      <c r="L1251" s="206"/>
    </row>
    <row r="1252" spans="1:12" s="187" customFormat="1" x14ac:dyDescent="0.2">
      <c r="A1252" s="111">
        <f>IF(F1252&lt;&gt;"",1+MAX($A$7:A1251),"")</f>
        <v>440</v>
      </c>
      <c r="B1252" s="2" t="s">
        <v>112</v>
      </c>
      <c r="C1252" s="2" t="s">
        <v>111</v>
      </c>
      <c r="D1252" s="214"/>
      <c r="E1252" s="213" t="s">
        <v>134</v>
      </c>
      <c r="F1252" s="17">
        <f>3.3*4</f>
        <v>13.2</v>
      </c>
      <c r="G1252" s="127">
        <v>0.1</v>
      </c>
      <c r="H1252" s="33">
        <f>F1252*(1+G1252)</f>
        <v>14.52</v>
      </c>
      <c r="I1252" s="34" t="s">
        <v>15</v>
      </c>
      <c r="J1252" s="204">
        <f>J$151</f>
        <v>0</v>
      </c>
      <c r="K1252" s="205">
        <f>J1252*H1252</f>
        <v>0</v>
      </c>
      <c r="L1252" s="206"/>
    </row>
    <row r="1253" spans="1:12" s="187" customFormat="1" x14ac:dyDescent="0.2">
      <c r="A1253" s="111" t="str">
        <f>IF(F1253&lt;&gt;"",1+MAX($A$7:A1252),"")</f>
        <v/>
      </c>
      <c r="B1253" s="2"/>
      <c r="C1253" s="2"/>
      <c r="D1253" s="214"/>
      <c r="E1253" s="213"/>
      <c r="F1253" s="17"/>
      <c r="G1253" s="127"/>
      <c r="H1253" s="33"/>
      <c r="I1253" s="34"/>
      <c r="J1253" s="204"/>
      <c r="K1253" s="205"/>
      <c r="L1253" s="206"/>
    </row>
    <row r="1254" spans="1:12" s="187" customFormat="1" x14ac:dyDescent="0.2">
      <c r="A1254" s="111" t="str">
        <f>IF(F1254&lt;&gt;"",1+MAX($A$7:A1253),"")</f>
        <v/>
      </c>
      <c r="B1254" s="207"/>
      <c r="C1254" s="207"/>
      <c r="D1254" s="201"/>
      <c r="E1254" s="208" t="s">
        <v>152</v>
      </c>
      <c r="F1254" s="203"/>
      <c r="G1254" s="25"/>
      <c r="H1254" s="209"/>
      <c r="I1254" s="5"/>
      <c r="J1254" s="210"/>
      <c r="K1254" s="211"/>
      <c r="L1254" s="206"/>
    </row>
    <row r="1255" spans="1:12" s="187" customFormat="1" x14ac:dyDescent="0.2">
      <c r="A1255" s="111">
        <f>IF(F1255&lt;&gt;"",1+MAX($A$7:A1254),"")</f>
        <v>441</v>
      </c>
      <c r="B1255" s="2" t="s">
        <v>112</v>
      </c>
      <c r="C1255" s="2" t="s">
        <v>111</v>
      </c>
      <c r="D1255" s="212"/>
      <c r="E1255" s="213" t="s">
        <v>122</v>
      </c>
      <c r="F1255" s="17">
        <f>33*9</f>
        <v>297</v>
      </c>
      <c r="G1255" s="127">
        <v>0.1</v>
      </c>
      <c r="H1255" s="33">
        <f>F1255*(1+G1255)</f>
        <v>326.70000000000005</v>
      </c>
      <c r="I1255" s="34" t="s">
        <v>18</v>
      </c>
      <c r="J1255" s="204">
        <f>J$143</f>
        <v>0</v>
      </c>
      <c r="K1255" s="205">
        <f>J1255*H1255</f>
        <v>0</v>
      </c>
      <c r="L1255" s="206"/>
    </row>
    <row r="1256" spans="1:12" s="187" customFormat="1" x14ac:dyDescent="0.2">
      <c r="A1256" s="111" t="str">
        <f>IF(F1256&lt;&gt;"",1+MAX($A$7:A1255),"")</f>
        <v/>
      </c>
      <c r="B1256" s="45"/>
      <c r="C1256" s="45"/>
      <c r="D1256" s="214"/>
      <c r="E1256" s="215" t="s">
        <v>48</v>
      </c>
      <c r="F1256" s="216"/>
      <c r="G1256" s="217"/>
      <c r="H1256" s="33">
        <f>ROUNDUP((H1255)/32,0)</f>
        <v>11</v>
      </c>
      <c r="I1256" s="34" t="s">
        <v>49</v>
      </c>
      <c r="J1256" s="204"/>
      <c r="K1256" s="205"/>
      <c r="L1256" s="206"/>
    </row>
    <row r="1257" spans="1:12" s="187" customFormat="1" x14ac:dyDescent="0.2">
      <c r="A1257" s="111" t="str">
        <f>IF(F1257&lt;&gt;"",1+MAX($A$7:A1256),"")</f>
        <v/>
      </c>
      <c r="B1257" s="45"/>
      <c r="C1257" s="45"/>
      <c r="D1257" s="214"/>
      <c r="E1257" s="215" t="s">
        <v>50</v>
      </c>
      <c r="F1257" s="216"/>
      <c r="G1257" s="217"/>
      <c r="H1257" s="33">
        <f>ROUNDUP(H1256*24/500,0)</f>
        <v>1</v>
      </c>
      <c r="I1257" s="34" t="s">
        <v>51</v>
      </c>
      <c r="J1257" s="204"/>
      <c r="K1257" s="205"/>
      <c r="L1257" s="206"/>
    </row>
    <row r="1258" spans="1:12" s="187" customFormat="1" x14ac:dyDescent="0.2">
      <c r="A1258" s="111" t="str">
        <f>IF(F1258&lt;&gt;"",1+MAX($A$7:A1257),"")</f>
        <v/>
      </c>
      <c r="B1258" s="45"/>
      <c r="C1258" s="45"/>
      <c r="D1258" s="214"/>
      <c r="E1258" s="215" t="s">
        <v>52</v>
      </c>
      <c r="F1258" s="216"/>
      <c r="G1258" s="217"/>
      <c r="H1258" s="218">
        <f>ROUNDUP((H1255)/200,0)</f>
        <v>2</v>
      </c>
      <c r="I1258" s="34" t="s">
        <v>53</v>
      </c>
      <c r="J1258" s="204"/>
      <c r="K1258" s="205"/>
      <c r="L1258" s="206"/>
    </row>
    <row r="1259" spans="1:12" s="187" customFormat="1" x14ac:dyDescent="0.2">
      <c r="A1259" s="111" t="str">
        <f>IF(F1259&lt;&gt;"",1+MAX($A$7:A1258),"")</f>
        <v/>
      </c>
      <c r="B1259" s="45"/>
      <c r="C1259" s="45"/>
      <c r="D1259" s="214"/>
      <c r="E1259" s="215" t="s">
        <v>54</v>
      </c>
      <c r="F1259" s="216"/>
      <c r="G1259" s="217"/>
      <c r="H1259" s="218">
        <f>ROUNDUP((H1255)*5.25/1000,0)</f>
        <v>2</v>
      </c>
      <c r="I1259" s="34" t="s">
        <v>55</v>
      </c>
      <c r="J1259" s="204"/>
      <c r="K1259" s="205"/>
      <c r="L1259" s="206"/>
    </row>
    <row r="1260" spans="1:12" s="187" customFormat="1" x14ac:dyDescent="0.2">
      <c r="A1260" s="111">
        <f>IF(F1260&lt;&gt;"",1+MAX($A$7:A1259),"")</f>
        <v>442</v>
      </c>
      <c r="B1260" s="2" t="s">
        <v>112</v>
      </c>
      <c r="C1260" s="2" t="s">
        <v>111</v>
      </c>
      <c r="D1260" s="212"/>
      <c r="E1260" s="213" t="s">
        <v>108</v>
      </c>
      <c r="F1260" s="17">
        <f>106.5*9</f>
        <v>958.5</v>
      </c>
      <c r="G1260" s="127">
        <v>0.1</v>
      </c>
      <c r="H1260" s="33">
        <f>F1260*(1+G1260)</f>
        <v>1054.3500000000001</v>
      </c>
      <c r="I1260" s="34" t="s">
        <v>18</v>
      </c>
      <c r="J1260" s="204">
        <f>J$160</f>
        <v>0</v>
      </c>
      <c r="K1260" s="205">
        <f>J1260*H1260</f>
        <v>0</v>
      </c>
      <c r="L1260" s="206"/>
    </row>
    <row r="1261" spans="1:12" s="187" customFormat="1" x14ac:dyDescent="0.2">
      <c r="A1261" s="111" t="str">
        <f>IF(F1261&lt;&gt;"",1+MAX($A$7:A1260),"")</f>
        <v/>
      </c>
      <c r="B1261" s="45"/>
      <c r="C1261" s="45"/>
      <c r="D1261" s="214"/>
      <c r="E1261" s="215" t="s">
        <v>48</v>
      </c>
      <c r="F1261" s="216"/>
      <c r="G1261" s="217"/>
      <c r="H1261" s="33">
        <f>ROUNDUP((H1260)/32,0)</f>
        <v>33</v>
      </c>
      <c r="I1261" s="34" t="s">
        <v>49</v>
      </c>
      <c r="J1261" s="204"/>
      <c r="K1261" s="205"/>
      <c r="L1261" s="206"/>
    </row>
    <row r="1262" spans="1:12" s="187" customFormat="1" x14ac:dyDescent="0.2">
      <c r="A1262" s="111" t="str">
        <f>IF(F1262&lt;&gt;"",1+MAX($A$7:A1261),"")</f>
        <v/>
      </c>
      <c r="B1262" s="45"/>
      <c r="C1262" s="45"/>
      <c r="D1262" s="214"/>
      <c r="E1262" s="215" t="s">
        <v>50</v>
      </c>
      <c r="F1262" s="216"/>
      <c r="G1262" s="217"/>
      <c r="H1262" s="33">
        <f>ROUNDUP(H1261*24/500,0)</f>
        <v>2</v>
      </c>
      <c r="I1262" s="34" t="s">
        <v>51</v>
      </c>
      <c r="J1262" s="204"/>
      <c r="K1262" s="205"/>
      <c r="L1262" s="206"/>
    </row>
    <row r="1263" spans="1:12" s="187" customFormat="1" x14ac:dyDescent="0.2">
      <c r="A1263" s="111" t="str">
        <f>IF(F1263&lt;&gt;"",1+MAX($A$7:A1262),"")</f>
        <v/>
      </c>
      <c r="B1263" s="45"/>
      <c r="C1263" s="45"/>
      <c r="D1263" s="214"/>
      <c r="E1263" s="215" t="s">
        <v>52</v>
      </c>
      <c r="F1263" s="216"/>
      <c r="G1263" s="217"/>
      <c r="H1263" s="218">
        <f>ROUNDUP((H1260)/200,0)</f>
        <v>6</v>
      </c>
      <c r="I1263" s="34" t="s">
        <v>53</v>
      </c>
      <c r="J1263" s="204"/>
      <c r="K1263" s="205"/>
      <c r="L1263" s="206"/>
    </row>
    <row r="1264" spans="1:12" s="187" customFormat="1" x14ac:dyDescent="0.2">
      <c r="A1264" s="111" t="str">
        <f>IF(F1264&lt;&gt;"",1+MAX($A$7:A1263),"")</f>
        <v/>
      </c>
      <c r="B1264" s="45"/>
      <c r="C1264" s="45"/>
      <c r="D1264" s="214"/>
      <c r="E1264" s="215" t="s">
        <v>54</v>
      </c>
      <c r="F1264" s="216"/>
      <c r="G1264" s="217"/>
      <c r="H1264" s="218">
        <f>ROUNDUP((H1260)*5.25/1000,0)</f>
        <v>6</v>
      </c>
      <c r="I1264" s="34" t="s">
        <v>55</v>
      </c>
      <c r="J1264" s="204"/>
      <c r="K1264" s="205"/>
      <c r="L1264" s="206"/>
    </row>
    <row r="1265" spans="1:12" s="187" customFormat="1" x14ac:dyDescent="0.2">
      <c r="A1265" s="111">
        <f>IF(F1265&lt;&gt;"",1+MAX($A$7:A1264),"")</f>
        <v>443</v>
      </c>
      <c r="B1265" s="2" t="s">
        <v>112</v>
      </c>
      <c r="C1265" s="2" t="s">
        <v>111</v>
      </c>
      <c r="D1265" s="214"/>
      <c r="E1265" s="213" t="s">
        <v>109</v>
      </c>
      <c r="F1265" s="17">
        <f>139.5*2</f>
        <v>279</v>
      </c>
      <c r="G1265" s="127">
        <v>0.1</v>
      </c>
      <c r="H1265" s="33">
        <f>F1265*(1+G1265)</f>
        <v>306.90000000000003</v>
      </c>
      <c r="I1265" s="34" t="s">
        <v>15</v>
      </c>
      <c r="J1265" s="204">
        <f>J$148</f>
        <v>0</v>
      </c>
      <c r="K1265" s="205">
        <f>J1265*H1265</f>
        <v>0</v>
      </c>
      <c r="L1265" s="206"/>
    </row>
    <row r="1266" spans="1:12" s="187" customFormat="1" x14ac:dyDescent="0.2">
      <c r="A1266" s="111" t="str">
        <f>IF(F1266&lt;&gt;"",1+MAX($A$7:A1265),"")</f>
        <v/>
      </c>
      <c r="B1266" s="2"/>
      <c r="C1266" s="2"/>
      <c r="D1266" s="214"/>
      <c r="E1266" s="213"/>
      <c r="F1266" s="17"/>
      <c r="G1266" s="127"/>
      <c r="H1266" s="33"/>
      <c r="I1266" s="34"/>
      <c r="J1266" s="204"/>
      <c r="K1266" s="205"/>
      <c r="L1266" s="206"/>
    </row>
    <row r="1267" spans="1:12" s="187" customFormat="1" x14ac:dyDescent="0.2">
      <c r="A1267" s="111" t="str">
        <f>IF(F1267&lt;&gt;"",1+MAX($A$7:A1266),"")</f>
        <v/>
      </c>
      <c r="B1267" s="207"/>
      <c r="C1267" s="207"/>
      <c r="D1267" s="201"/>
      <c r="E1267" s="208" t="s">
        <v>158</v>
      </c>
      <c r="F1267" s="203"/>
      <c r="G1267" s="25"/>
      <c r="H1267" s="209"/>
      <c r="I1267" s="5"/>
      <c r="J1267" s="210"/>
      <c r="K1267" s="211"/>
      <c r="L1267" s="206"/>
    </row>
    <row r="1268" spans="1:12" s="187" customFormat="1" x14ac:dyDescent="0.2">
      <c r="A1268" s="111">
        <f>IF(F1268&lt;&gt;"",1+MAX($A$7:A1267),"")</f>
        <v>444</v>
      </c>
      <c r="B1268" s="2" t="s">
        <v>112</v>
      </c>
      <c r="C1268" s="2" t="s">
        <v>154</v>
      </c>
      <c r="D1268" s="212"/>
      <c r="E1268" s="213" t="s">
        <v>122</v>
      </c>
      <c r="F1268" s="17">
        <f>674.2*9</f>
        <v>6067.8</v>
      </c>
      <c r="G1268" s="127">
        <v>0.1</v>
      </c>
      <c r="H1268" s="33">
        <f>F1268*(1+G1268)</f>
        <v>6674.5800000000008</v>
      </c>
      <c r="I1268" s="34" t="s">
        <v>18</v>
      </c>
      <c r="J1268" s="204">
        <f>J$143</f>
        <v>0</v>
      </c>
      <c r="K1268" s="205">
        <f>J1268*H1268</f>
        <v>0</v>
      </c>
      <c r="L1268" s="206"/>
    </row>
    <row r="1269" spans="1:12" s="187" customFormat="1" x14ac:dyDescent="0.2">
      <c r="A1269" s="111" t="str">
        <f>IF(F1269&lt;&gt;"",1+MAX($A$7:A1268),"")</f>
        <v/>
      </c>
      <c r="B1269" s="45"/>
      <c r="C1269" s="45"/>
      <c r="D1269" s="214"/>
      <c r="E1269" s="215" t="s">
        <v>48</v>
      </c>
      <c r="F1269" s="216"/>
      <c r="G1269" s="217"/>
      <c r="H1269" s="33">
        <f>ROUNDUP((H1268)/32,0)</f>
        <v>209</v>
      </c>
      <c r="I1269" s="34" t="s">
        <v>49</v>
      </c>
      <c r="J1269" s="204"/>
      <c r="K1269" s="205"/>
      <c r="L1269" s="206"/>
    </row>
    <row r="1270" spans="1:12" s="187" customFormat="1" x14ac:dyDescent="0.2">
      <c r="A1270" s="111" t="str">
        <f>IF(F1270&lt;&gt;"",1+MAX($A$7:A1269),"")</f>
        <v/>
      </c>
      <c r="B1270" s="45"/>
      <c r="C1270" s="45"/>
      <c r="D1270" s="214"/>
      <c r="E1270" s="215" t="s">
        <v>50</v>
      </c>
      <c r="F1270" s="216"/>
      <c r="G1270" s="217"/>
      <c r="H1270" s="33">
        <f>ROUNDUP(H1269*24/500,0)</f>
        <v>11</v>
      </c>
      <c r="I1270" s="34" t="s">
        <v>51</v>
      </c>
      <c r="J1270" s="204"/>
      <c r="K1270" s="205"/>
      <c r="L1270" s="206"/>
    </row>
    <row r="1271" spans="1:12" s="187" customFormat="1" x14ac:dyDescent="0.2">
      <c r="A1271" s="111" t="str">
        <f>IF(F1271&lt;&gt;"",1+MAX($A$7:A1270),"")</f>
        <v/>
      </c>
      <c r="B1271" s="45"/>
      <c r="C1271" s="45"/>
      <c r="D1271" s="214"/>
      <c r="E1271" s="215" t="s">
        <v>52</v>
      </c>
      <c r="F1271" s="216"/>
      <c r="G1271" s="217"/>
      <c r="H1271" s="218">
        <f>ROUNDUP((H1268)/200,0)</f>
        <v>34</v>
      </c>
      <c r="I1271" s="34" t="s">
        <v>53</v>
      </c>
      <c r="J1271" s="204"/>
      <c r="K1271" s="205"/>
      <c r="L1271" s="206"/>
    </row>
    <row r="1272" spans="1:12" s="187" customFormat="1" x14ac:dyDescent="0.2">
      <c r="A1272" s="111" t="str">
        <f>IF(F1272&lt;&gt;"",1+MAX($A$7:A1271),"")</f>
        <v/>
      </c>
      <c r="B1272" s="45"/>
      <c r="C1272" s="45"/>
      <c r="D1272" s="214"/>
      <c r="E1272" s="215" t="s">
        <v>54</v>
      </c>
      <c r="F1272" s="216"/>
      <c r="G1272" s="217"/>
      <c r="H1272" s="218">
        <f>ROUNDUP((H1268)*5.25/1000,0)</f>
        <v>36</v>
      </c>
      <c r="I1272" s="34" t="s">
        <v>55</v>
      </c>
      <c r="J1272" s="204"/>
      <c r="K1272" s="205"/>
      <c r="L1272" s="206"/>
    </row>
    <row r="1273" spans="1:12" s="187" customFormat="1" x14ac:dyDescent="0.2">
      <c r="A1273" s="111">
        <f>IF(F1273&lt;&gt;"",1+MAX($A$7:A1272),"")</f>
        <v>445</v>
      </c>
      <c r="B1273" s="2" t="s">
        <v>112</v>
      </c>
      <c r="C1273" s="2" t="s">
        <v>154</v>
      </c>
      <c r="D1273" s="214"/>
      <c r="E1273" s="213" t="s">
        <v>109</v>
      </c>
      <c r="F1273" s="17">
        <f>674.2*2</f>
        <v>1348.4</v>
      </c>
      <c r="G1273" s="127">
        <v>0.1</v>
      </c>
      <c r="H1273" s="33">
        <f>F1273*(1+G1273)</f>
        <v>1483.2400000000002</v>
      </c>
      <c r="I1273" s="34" t="s">
        <v>15</v>
      </c>
      <c r="J1273" s="204">
        <f>J$148</f>
        <v>0</v>
      </c>
      <c r="K1273" s="205">
        <f>J1273*H1273</f>
        <v>0</v>
      </c>
      <c r="L1273" s="206"/>
    </row>
    <row r="1274" spans="1:12" s="187" customFormat="1" x14ac:dyDescent="0.2">
      <c r="A1274" s="111">
        <f>IF(F1274&lt;&gt;"",1+MAX($A$7:A1273),"")</f>
        <v>446</v>
      </c>
      <c r="B1274" s="2" t="s">
        <v>112</v>
      </c>
      <c r="C1274" s="2" t="s">
        <v>154</v>
      </c>
      <c r="D1274" s="212"/>
      <c r="E1274" s="213" t="s">
        <v>484</v>
      </c>
      <c r="F1274" s="17">
        <f>674.2*9</f>
        <v>6067.8</v>
      </c>
      <c r="G1274" s="127">
        <v>0.1</v>
      </c>
      <c r="H1274" s="33">
        <f>F1274*(1+G1274)</f>
        <v>6674.5800000000008</v>
      </c>
      <c r="I1274" s="34" t="s">
        <v>18</v>
      </c>
      <c r="J1274" s="204">
        <f>J$276</f>
        <v>0</v>
      </c>
      <c r="K1274" s="205">
        <f>J1274*H1274</f>
        <v>0</v>
      </c>
      <c r="L1274" s="206"/>
    </row>
    <row r="1275" spans="1:12" s="187" customFormat="1" x14ac:dyDescent="0.2">
      <c r="A1275" s="111">
        <f>IF(F1275&lt;&gt;"",1+MAX($A$7:A1274),"")</f>
        <v>447</v>
      </c>
      <c r="B1275" s="2" t="s">
        <v>112</v>
      </c>
      <c r="C1275" s="2" t="s">
        <v>154</v>
      </c>
      <c r="D1275" s="212"/>
      <c r="E1275" s="213" t="s">
        <v>156</v>
      </c>
      <c r="F1275" s="17">
        <f>674.2*10.67</f>
        <v>7193.7140000000009</v>
      </c>
      <c r="G1275" s="127">
        <v>0.1</v>
      </c>
      <c r="H1275" s="33">
        <f>F1275*(1+G1275)</f>
        <v>7913.0854000000018</v>
      </c>
      <c r="I1275" s="34" t="s">
        <v>18</v>
      </c>
      <c r="J1275" s="204">
        <f>J$442</f>
        <v>0</v>
      </c>
      <c r="K1275" s="205">
        <f>J1275*H1275</f>
        <v>0</v>
      </c>
      <c r="L1275" s="206"/>
    </row>
    <row r="1276" spans="1:12" s="187" customFormat="1" x14ac:dyDescent="0.2">
      <c r="A1276" s="111" t="str">
        <f>IF(F1276&lt;&gt;"",1+MAX($A$7:A1275),"")</f>
        <v/>
      </c>
      <c r="B1276" s="2"/>
      <c r="C1276" s="2"/>
      <c r="D1276" s="214"/>
      <c r="E1276" s="213"/>
      <c r="F1276" s="17"/>
      <c r="G1276" s="127"/>
      <c r="H1276" s="33"/>
      <c r="I1276" s="34"/>
      <c r="J1276" s="204"/>
      <c r="K1276" s="205"/>
      <c r="L1276" s="206"/>
    </row>
    <row r="1277" spans="1:12" s="187" customFormat="1" x14ac:dyDescent="0.2">
      <c r="A1277" s="111" t="str">
        <f>IF(F1277&lt;&gt;"",1+MAX($A$7:A1276),"")</f>
        <v/>
      </c>
      <c r="B1277" s="207"/>
      <c r="C1277" s="207"/>
      <c r="D1277" s="201"/>
      <c r="E1277" s="208" t="s">
        <v>159</v>
      </c>
      <c r="F1277" s="203"/>
      <c r="G1277" s="25"/>
      <c r="H1277" s="209"/>
      <c r="I1277" s="5"/>
      <c r="J1277" s="210"/>
      <c r="K1277" s="211"/>
      <c r="L1277" s="206"/>
    </row>
    <row r="1278" spans="1:12" s="187" customFormat="1" x14ac:dyDescent="0.2">
      <c r="A1278" s="111">
        <f>IF(F1278&lt;&gt;"",1+MAX($A$7:A1277),"")</f>
        <v>448</v>
      </c>
      <c r="B1278" s="2" t="s">
        <v>112</v>
      </c>
      <c r="C1278" s="2" t="s">
        <v>154</v>
      </c>
      <c r="D1278" s="212"/>
      <c r="E1278" s="213" t="s">
        <v>140</v>
      </c>
      <c r="F1278" s="17">
        <f>59.7*9*2</f>
        <v>1074.6000000000001</v>
      </c>
      <c r="G1278" s="127">
        <v>0.1</v>
      </c>
      <c r="H1278" s="33">
        <f>F1278*(1+G1278)</f>
        <v>1182.0600000000002</v>
      </c>
      <c r="I1278" s="34" t="s">
        <v>18</v>
      </c>
      <c r="J1278" s="204">
        <f>J$143</f>
        <v>0</v>
      </c>
      <c r="K1278" s="205">
        <f>J1278*H1278</f>
        <v>0</v>
      </c>
      <c r="L1278" s="206"/>
    </row>
    <row r="1279" spans="1:12" s="187" customFormat="1" x14ac:dyDescent="0.2">
      <c r="A1279" s="111" t="str">
        <f>IF(F1279&lt;&gt;"",1+MAX($A$7:A1278),"")</f>
        <v/>
      </c>
      <c r="B1279" s="45"/>
      <c r="C1279" s="45"/>
      <c r="D1279" s="214"/>
      <c r="E1279" s="215" t="s">
        <v>48</v>
      </c>
      <c r="F1279" s="216"/>
      <c r="G1279" s="217"/>
      <c r="H1279" s="33">
        <f>ROUNDUP((H1278)/32,0)</f>
        <v>37</v>
      </c>
      <c r="I1279" s="34" t="s">
        <v>49</v>
      </c>
      <c r="J1279" s="204"/>
      <c r="K1279" s="205"/>
      <c r="L1279" s="206"/>
    </row>
    <row r="1280" spans="1:12" s="187" customFormat="1" x14ac:dyDescent="0.2">
      <c r="A1280" s="111" t="str">
        <f>IF(F1280&lt;&gt;"",1+MAX($A$7:A1279),"")</f>
        <v/>
      </c>
      <c r="B1280" s="45"/>
      <c r="C1280" s="45"/>
      <c r="D1280" s="214"/>
      <c r="E1280" s="215" t="s">
        <v>50</v>
      </c>
      <c r="F1280" s="216"/>
      <c r="G1280" s="217"/>
      <c r="H1280" s="33">
        <f>ROUNDUP(H1279*24/500,0)</f>
        <v>2</v>
      </c>
      <c r="I1280" s="34" t="s">
        <v>51</v>
      </c>
      <c r="J1280" s="204"/>
      <c r="K1280" s="205"/>
      <c r="L1280" s="206"/>
    </row>
    <row r="1281" spans="1:12" s="187" customFormat="1" x14ac:dyDescent="0.2">
      <c r="A1281" s="111" t="str">
        <f>IF(F1281&lt;&gt;"",1+MAX($A$7:A1280),"")</f>
        <v/>
      </c>
      <c r="B1281" s="45"/>
      <c r="C1281" s="45"/>
      <c r="D1281" s="214"/>
      <c r="E1281" s="215" t="s">
        <v>52</v>
      </c>
      <c r="F1281" s="216"/>
      <c r="G1281" s="217"/>
      <c r="H1281" s="218">
        <f>ROUNDUP((H1278)/200,0)</f>
        <v>6</v>
      </c>
      <c r="I1281" s="34" t="s">
        <v>53</v>
      </c>
      <c r="J1281" s="204"/>
      <c r="K1281" s="205"/>
      <c r="L1281" s="206"/>
    </row>
    <row r="1282" spans="1:12" s="187" customFormat="1" x14ac:dyDescent="0.2">
      <c r="A1282" s="111" t="str">
        <f>IF(F1282&lt;&gt;"",1+MAX($A$7:A1281),"")</f>
        <v/>
      </c>
      <c r="B1282" s="45"/>
      <c r="C1282" s="45"/>
      <c r="D1282" s="214"/>
      <c r="E1282" s="215" t="s">
        <v>54</v>
      </c>
      <c r="F1282" s="216"/>
      <c r="G1282" s="217"/>
      <c r="H1282" s="218">
        <f>ROUNDUP((H1278)*5.25/1000,0)</f>
        <v>7</v>
      </c>
      <c r="I1282" s="34" t="s">
        <v>55</v>
      </c>
      <c r="J1282" s="204"/>
      <c r="K1282" s="205"/>
      <c r="L1282" s="206"/>
    </row>
    <row r="1283" spans="1:12" s="187" customFormat="1" x14ac:dyDescent="0.2">
      <c r="A1283" s="111">
        <f>IF(F1283&lt;&gt;"",1+MAX($A$7:A1282),"")</f>
        <v>449</v>
      </c>
      <c r="B1283" s="2" t="s">
        <v>112</v>
      </c>
      <c r="C1283" s="2" t="s">
        <v>154</v>
      </c>
      <c r="D1283" s="214"/>
      <c r="E1283" s="213" t="s">
        <v>109</v>
      </c>
      <c r="F1283" s="17">
        <f>59.7*2</f>
        <v>119.4</v>
      </c>
      <c r="G1283" s="127">
        <v>0.1</v>
      </c>
      <c r="H1283" s="33">
        <f>F1283*(1+G1283)</f>
        <v>131.34</v>
      </c>
      <c r="I1283" s="34" t="s">
        <v>15</v>
      </c>
      <c r="J1283" s="204">
        <f>J$148</f>
        <v>0</v>
      </c>
      <c r="K1283" s="205">
        <f>J1283*H1283</f>
        <v>0</v>
      </c>
      <c r="L1283" s="206"/>
    </row>
    <row r="1284" spans="1:12" s="187" customFormat="1" x14ac:dyDescent="0.2">
      <c r="A1284" s="111">
        <f>IF(F1284&lt;&gt;"",1+MAX($A$7:A1283),"")</f>
        <v>450</v>
      </c>
      <c r="B1284" s="2" t="s">
        <v>112</v>
      </c>
      <c r="C1284" s="2" t="s">
        <v>154</v>
      </c>
      <c r="D1284" s="212"/>
      <c r="E1284" s="213" t="s">
        <v>484</v>
      </c>
      <c r="F1284" s="17">
        <f>59.7*9</f>
        <v>537.30000000000007</v>
      </c>
      <c r="G1284" s="127">
        <v>0.1</v>
      </c>
      <c r="H1284" s="33">
        <f>F1284*(1+G1284)</f>
        <v>591.03000000000009</v>
      </c>
      <c r="I1284" s="34" t="s">
        <v>18</v>
      </c>
      <c r="J1284" s="204">
        <f>J$276</f>
        <v>0</v>
      </c>
      <c r="K1284" s="205">
        <f>J1284*H1284</f>
        <v>0</v>
      </c>
      <c r="L1284" s="206"/>
    </row>
    <row r="1285" spans="1:12" s="187" customFormat="1" x14ac:dyDescent="0.2">
      <c r="A1285" s="111">
        <f>IF(F1285&lt;&gt;"",1+MAX($A$7:A1284),"")</f>
        <v>451</v>
      </c>
      <c r="B1285" s="2" t="s">
        <v>112</v>
      </c>
      <c r="C1285" s="2" t="s">
        <v>154</v>
      </c>
      <c r="D1285" s="212"/>
      <c r="E1285" s="213" t="s">
        <v>156</v>
      </c>
      <c r="F1285" s="17">
        <f>59.7*10.67</f>
        <v>636.99900000000002</v>
      </c>
      <c r="G1285" s="127">
        <v>0.1</v>
      </c>
      <c r="H1285" s="33">
        <f>F1285*(1+G1285)</f>
        <v>700.69890000000009</v>
      </c>
      <c r="I1285" s="34" t="s">
        <v>18</v>
      </c>
      <c r="J1285" s="204">
        <f>J$442</f>
        <v>0</v>
      </c>
      <c r="K1285" s="205">
        <f>J1285*H1285</f>
        <v>0</v>
      </c>
      <c r="L1285" s="206"/>
    </row>
    <row r="1286" spans="1:12" s="187" customFormat="1" x14ac:dyDescent="0.2">
      <c r="A1286" s="111" t="str">
        <f>IF(F1286&lt;&gt;"",1+MAX($A$7:A1285),"")</f>
        <v/>
      </c>
      <c r="B1286" s="2"/>
      <c r="C1286" s="2"/>
      <c r="D1286" s="214"/>
      <c r="E1286" s="213"/>
      <c r="F1286" s="17"/>
      <c r="G1286" s="127"/>
      <c r="H1286" s="33"/>
      <c r="I1286" s="34"/>
      <c r="J1286" s="204"/>
      <c r="K1286" s="205"/>
      <c r="L1286" s="206"/>
    </row>
    <row r="1287" spans="1:12" s="187" customFormat="1" x14ac:dyDescent="0.2">
      <c r="A1287" s="111" t="str">
        <f>IF(F1287&lt;&gt;"",1+MAX($A$7:A1286),"")</f>
        <v/>
      </c>
      <c r="B1287" s="207"/>
      <c r="C1287" s="207"/>
      <c r="D1287" s="201"/>
      <c r="E1287" s="208" t="s">
        <v>206</v>
      </c>
      <c r="F1287" s="203"/>
      <c r="G1287" s="25"/>
      <c r="H1287" s="209"/>
      <c r="I1287" s="5"/>
      <c r="J1287" s="210"/>
      <c r="K1287" s="211"/>
      <c r="L1287" s="206"/>
    </row>
    <row r="1288" spans="1:12" s="187" customFormat="1" x14ac:dyDescent="0.2">
      <c r="A1288" s="111">
        <f>IF(F1288&lt;&gt;"",1+MAX($A$7:A1287),"")</f>
        <v>452</v>
      </c>
      <c r="B1288" s="2" t="s">
        <v>112</v>
      </c>
      <c r="C1288" s="2" t="s">
        <v>209</v>
      </c>
      <c r="D1288" s="212"/>
      <c r="E1288" s="213" t="s">
        <v>156</v>
      </c>
      <c r="F1288" s="17">
        <f>(10.3*2.83+40.2*3+253.4*3.83+163.4*3.67+51.5*4.83+150.4*4.5+105.9*4.67)*2</f>
        <v>6280.0940000000001</v>
      </c>
      <c r="G1288" s="127">
        <v>0.1</v>
      </c>
      <c r="H1288" s="33">
        <f>F1288*(1+G1288)</f>
        <v>6908.1034000000009</v>
      </c>
      <c r="I1288" s="34" t="s">
        <v>18</v>
      </c>
      <c r="J1288" s="204">
        <f>J$442</f>
        <v>0</v>
      </c>
      <c r="K1288" s="205">
        <f>J1288*H1288</f>
        <v>0</v>
      </c>
      <c r="L1288" s="206"/>
    </row>
    <row r="1289" spans="1:12" s="187" customFormat="1" x14ac:dyDescent="0.2">
      <c r="A1289" s="111">
        <f>IF(F1289&lt;&gt;"",1+MAX($A$7:A1288),"")</f>
        <v>453</v>
      </c>
      <c r="B1289" s="2" t="s">
        <v>112</v>
      </c>
      <c r="C1289" s="2" t="s">
        <v>209</v>
      </c>
      <c r="D1289" s="212"/>
      <c r="E1289" s="213" t="s">
        <v>484</v>
      </c>
      <c r="F1289" s="17">
        <f>10.3*2.83+40.2*3+253.4*3.83+163.4*3.67+51.5*4.83+150.4*4.5+105.9*4.67</f>
        <v>3140.047</v>
      </c>
      <c r="G1289" s="127">
        <v>0.1</v>
      </c>
      <c r="H1289" s="33">
        <f>F1289*(1+G1289)</f>
        <v>3454.0517000000004</v>
      </c>
      <c r="I1289" s="34" t="s">
        <v>18</v>
      </c>
      <c r="J1289" s="204">
        <f>J$276</f>
        <v>0</v>
      </c>
      <c r="K1289" s="205">
        <f>J1289*H1289</f>
        <v>0</v>
      </c>
      <c r="L1289" s="206"/>
    </row>
    <row r="1290" spans="1:12" s="187" customFormat="1" x14ac:dyDescent="0.2">
      <c r="A1290" s="111" t="str">
        <f>IF(F1290&lt;&gt;"",1+MAX($A$7:A1289),"")</f>
        <v/>
      </c>
      <c r="B1290" s="2"/>
      <c r="C1290" s="2"/>
      <c r="D1290" s="214"/>
      <c r="E1290" s="213"/>
      <c r="F1290" s="17"/>
      <c r="G1290" s="127"/>
      <c r="H1290" s="33"/>
      <c r="I1290" s="34"/>
      <c r="J1290" s="204"/>
      <c r="K1290" s="205"/>
      <c r="L1290" s="206"/>
    </row>
    <row r="1291" spans="1:12" s="187" customFormat="1" x14ac:dyDescent="0.2">
      <c r="A1291" s="111" t="str">
        <f>IF(F1291&lt;&gt;"",1+MAX($A$7:A1290),"")</f>
        <v/>
      </c>
      <c r="B1291" s="32"/>
      <c r="C1291" s="200"/>
      <c r="D1291" s="201"/>
      <c r="E1291" s="202" t="s">
        <v>197</v>
      </c>
      <c r="F1291" s="203"/>
      <c r="G1291" s="3"/>
      <c r="H1291" s="4"/>
      <c r="I1291" s="26"/>
      <c r="J1291" s="204"/>
      <c r="K1291" s="205"/>
      <c r="L1291" s="206"/>
    </row>
    <row r="1292" spans="1:12" s="187" customFormat="1" x14ac:dyDescent="0.2">
      <c r="A1292" s="111" t="str">
        <f>IF(F1292&lt;&gt;"",1+MAX($A$7:A1291),"")</f>
        <v/>
      </c>
      <c r="B1292" s="207"/>
      <c r="C1292" s="207"/>
      <c r="D1292" s="201"/>
      <c r="E1292" s="208" t="s">
        <v>113</v>
      </c>
      <c r="F1292" s="203"/>
      <c r="G1292" s="25"/>
      <c r="H1292" s="209"/>
      <c r="I1292" s="5"/>
      <c r="J1292" s="210"/>
      <c r="K1292" s="211"/>
      <c r="L1292" s="206"/>
    </row>
    <row r="1293" spans="1:12" s="187" customFormat="1" x14ac:dyDescent="0.2">
      <c r="A1293" s="111">
        <f>IF(F1293&lt;&gt;"",1+MAX($A$7:A1292),"")</f>
        <v>454</v>
      </c>
      <c r="B1293" s="2" t="s">
        <v>112</v>
      </c>
      <c r="C1293" s="2" t="s">
        <v>111</v>
      </c>
      <c r="D1293" s="212"/>
      <c r="E1293" s="213" t="s">
        <v>107</v>
      </c>
      <c r="F1293" s="17">
        <f>14*3.5*2</f>
        <v>98</v>
      </c>
      <c r="G1293" s="127">
        <v>0.1</v>
      </c>
      <c r="H1293" s="33">
        <f>F1293*(1+G1293)</f>
        <v>107.80000000000001</v>
      </c>
      <c r="I1293" s="34" t="s">
        <v>18</v>
      </c>
      <c r="J1293" s="204">
        <f>J$143</f>
        <v>0</v>
      </c>
      <c r="K1293" s="205">
        <f>J1293*H1293</f>
        <v>0</v>
      </c>
      <c r="L1293" s="206"/>
    </row>
    <row r="1294" spans="1:12" s="187" customFormat="1" x14ac:dyDescent="0.2">
      <c r="A1294" s="111" t="str">
        <f>IF(F1294&lt;&gt;"",1+MAX($A$7:A1293),"")</f>
        <v/>
      </c>
      <c r="B1294" s="45"/>
      <c r="C1294" s="45"/>
      <c r="D1294" s="214"/>
      <c r="E1294" s="215" t="s">
        <v>48</v>
      </c>
      <c r="F1294" s="216"/>
      <c r="G1294" s="217"/>
      <c r="H1294" s="33">
        <f>ROUNDUP((H1293)/32,0)</f>
        <v>4</v>
      </c>
      <c r="I1294" s="34" t="s">
        <v>49</v>
      </c>
      <c r="J1294" s="204"/>
      <c r="K1294" s="205"/>
      <c r="L1294" s="206"/>
    </row>
    <row r="1295" spans="1:12" s="187" customFormat="1" x14ac:dyDescent="0.2">
      <c r="A1295" s="111" t="str">
        <f>IF(F1295&lt;&gt;"",1+MAX($A$7:A1294),"")</f>
        <v/>
      </c>
      <c r="B1295" s="45"/>
      <c r="C1295" s="45"/>
      <c r="D1295" s="214"/>
      <c r="E1295" s="215" t="s">
        <v>50</v>
      </c>
      <c r="F1295" s="216"/>
      <c r="G1295" s="217"/>
      <c r="H1295" s="33">
        <f>ROUNDUP(H1294*24/500,0)</f>
        <v>1</v>
      </c>
      <c r="I1295" s="34" t="s">
        <v>51</v>
      </c>
      <c r="J1295" s="204"/>
      <c r="K1295" s="205"/>
      <c r="L1295" s="206"/>
    </row>
    <row r="1296" spans="1:12" s="187" customFormat="1" x14ac:dyDescent="0.2">
      <c r="A1296" s="111" t="str">
        <f>IF(F1296&lt;&gt;"",1+MAX($A$7:A1295),"")</f>
        <v/>
      </c>
      <c r="B1296" s="45"/>
      <c r="C1296" s="45"/>
      <c r="D1296" s="214"/>
      <c r="E1296" s="215" t="s">
        <v>52</v>
      </c>
      <c r="F1296" s="216"/>
      <c r="G1296" s="217"/>
      <c r="H1296" s="218">
        <f>ROUNDUP((H1293)/200,0)</f>
        <v>1</v>
      </c>
      <c r="I1296" s="34" t="s">
        <v>53</v>
      </c>
      <c r="J1296" s="204"/>
      <c r="K1296" s="205"/>
      <c r="L1296" s="206"/>
    </row>
    <row r="1297" spans="1:12" s="187" customFormat="1" x14ac:dyDescent="0.2">
      <c r="A1297" s="111" t="str">
        <f>IF(F1297&lt;&gt;"",1+MAX($A$7:A1296),"")</f>
        <v/>
      </c>
      <c r="B1297" s="45"/>
      <c r="C1297" s="45"/>
      <c r="D1297" s="214"/>
      <c r="E1297" s="215" t="s">
        <v>54</v>
      </c>
      <c r="F1297" s="216"/>
      <c r="G1297" s="217"/>
      <c r="H1297" s="218">
        <f>ROUNDUP((H1293)*5.25/1000,0)</f>
        <v>1</v>
      </c>
      <c r="I1297" s="34" t="s">
        <v>55</v>
      </c>
      <c r="J1297" s="204"/>
      <c r="K1297" s="205"/>
      <c r="L1297" s="206"/>
    </row>
    <row r="1298" spans="1:12" s="187" customFormat="1" x14ac:dyDescent="0.2">
      <c r="A1298" s="111">
        <f>IF(F1298&lt;&gt;"",1+MAX($A$7:A1297),"")</f>
        <v>455</v>
      </c>
      <c r="B1298" s="2" t="s">
        <v>112</v>
      </c>
      <c r="C1298" s="2" t="s">
        <v>111</v>
      </c>
      <c r="D1298" s="214"/>
      <c r="E1298" s="213" t="s">
        <v>109</v>
      </c>
      <c r="F1298" s="17">
        <f>14*4</f>
        <v>56</v>
      </c>
      <c r="G1298" s="127">
        <v>0.1</v>
      </c>
      <c r="H1298" s="33">
        <f>F1298*(1+G1298)</f>
        <v>61.600000000000009</v>
      </c>
      <c r="I1298" s="34" t="s">
        <v>15</v>
      </c>
      <c r="J1298" s="204">
        <f>J$148</f>
        <v>0</v>
      </c>
      <c r="K1298" s="205">
        <f>J1298*H1298</f>
        <v>0</v>
      </c>
      <c r="L1298" s="206"/>
    </row>
    <row r="1299" spans="1:12" s="187" customFormat="1" x14ac:dyDescent="0.2">
      <c r="A1299" s="111" t="str">
        <f>IF(F1299&lt;&gt;"",1+MAX($A$7:A1298),"")</f>
        <v/>
      </c>
      <c r="B1299" s="2"/>
      <c r="C1299" s="2"/>
      <c r="D1299" s="214"/>
      <c r="E1299" s="213"/>
      <c r="F1299" s="17"/>
      <c r="G1299" s="127"/>
      <c r="H1299" s="33"/>
      <c r="I1299" s="34"/>
      <c r="J1299" s="204"/>
      <c r="K1299" s="205"/>
      <c r="L1299" s="206"/>
    </row>
    <row r="1300" spans="1:12" s="187" customFormat="1" x14ac:dyDescent="0.2">
      <c r="A1300" s="111" t="str">
        <f>IF(F1300&lt;&gt;"",1+MAX($A$7:A1299),"")</f>
        <v/>
      </c>
      <c r="B1300" s="207"/>
      <c r="C1300" s="207"/>
      <c r="D1300" s="201"/>
      <c r="E1300" s="208" t="s">
        <v>158</v>
      </c>
      <c r="F1300" s="203"/>
      <c r="G1300" s="25"/>
      <c r="H1300" s="209"/>
      <c r="I1300" s="5"/>
      <c r="J1300" s="210"/>
      <c r="K1300" s="211"/>
      <c r="L1300" s="206"/>
    </row>
    <row r="1301" spans="1:12" s="187" customFormat="1" x14ac:dyDescent="0.2">
      <c r="A1301" s="111">
        <f>IF(F1301&lt;&gt;"",1+MAX($A$7:A1300),"")</f>
        <v>456</v>
      </c>
      <c r="B1301" s="2" t="s">
        <v>112</v>
      </c>
      <c r="C1301" s="2" t="s">
        <v>154</v>
      </c>
      <c r="D1301" s="212"/>
      <c r="E1301" s="213" t="s">
        <v>122</v>
      </c>
      <c r="F1301" s="17">
        <f>93.8*9.25</f>
        <v>867.65</v>
      </c>
      <c r="G1301" s="127">
        <v>0.1</v>
      </c>
      <c r="H1301" s="33">
        <f>F1301*(1+G1301)</f>
        <v>954.41500000000008</v>
      </c>
      <c r="I1301" s="34" t="s">
        <v>18</v>
      </c>
      <c r="J1301" s="204">
        <f>J$143</f>
        <v>0</v>
      </c>
      <c r="K1301" s="205">
        <f>J1301*H1301</f>
        <v>0</v>
      </c>
      <c r="L1301" s="206"/>
    </row>
    <row r="1302" spans="1:12" s="187" customFormat="1" x14ac:dyDescent="0.2">
      <c r="A1302" s="111" t="str">
        <f>IF(F1302&lt;&gt;"",1+MAX($A$7:A1301),"")</f>
        <v/>
      </c>
      <c r="B1302" s="45"/>
      <c r="C1302" s="45"/>
      <c r="D1302" s="214"/>
      <c r="E1302" s="215" t="s">
        <v>48</v>
      </c>
      <c r="F1302" s="216"/>
      <c r="G1302" s="217"/>
      <c r="H1302" s="33">
        <f>ROUNDUP((H1301)/32,0)</f>
        <v>30</v>
      </c>
      <c r="I1302" s="34" t="s">
        <v>49</v>
      </c>
      <c r="J1302" s="204"/>
      <c r="K1302" s="205"/>
      <c r="L1302" s="206"/>
    </row>
    <row r="1303" spans="1:12" s="187" customFormat="1" x14ac:dyDescent="0.2">
      <c r="A1303" s="111" t="str">
        <f>IF(F1303&lt;&gt;"",1+MAX($A$7:A1302),"")</f>
        <v/>
      </c>
      <c r="B1303" s="45"/>
      <c r="C1303" s="45"/>
      <c r="D1303" s="214"/>
      <c r="E1303" s="215" t="s">
        <v>50</v>
      </c>
      <c r="F1303" s="216"/>
      <c r="G1303" s="217"/>
      <c r="H1303" s="33">
        <f>ROUNDUP(H1302*24/500,0)</f>
        <v>2</v>
      </c>
      <c r="I1303" s="34" t="s">
        <v>51</v>
      </c>
      <c r="J1303" s="204"/>
      <c r="K1303" s="205"/>
      <c r="L1303" s="206"/>
    </row>
    <row r="1304" spans="1:12" s="187" customFormat="1" x14ac:dyDescent="0.2">
      <c r="A1304" s="111" t="str">
        <f>IF(F1304&lt;&gt;"",1+MAX($A$7:A1303),"")</f>
        <v/>
      </c>
      <c r="B1304" s="45"/>
      <c r="C1304" s="45"/>
      <c r="D1304" s="214"/>
      <c r="E1304" s="215" t="s">
        <v>52</v>
      </c>
      <c r="F1304" s="216"/>
      <c r="G1304" s="217"/>
      <c r="H1304" s="218">
        <f>ROUNDUP((H1301)/200,0)</f>
        <v>5</v>
      </c>
      <c r="I1304" s="34" t="s">
        <v>53</v>
      </c>
      <c r="J1304" s="204"/>
      <c r="K1304" s="205"/>
      <c r="L1304" s="206"/>
    </row>
    <row r="1305" spans="1:12" s="187" customFormat="1" x14ac:dyDescent="0.2">
      <c r="A1305" s="111" t="str">
        <f>IF(F1305&lt;&gt;"",1+MAX($A$7:A1304),"")</f>
        <v/>
      </c>
      <c r="B1305" s="45"/>
      <c r="C1305" s="45"/>
      <c r="D1305" s="214"/>
      <c r="E1305" s="215" t="s">
        <v>54</v>
      </c>
      <c r="F1305" s="216"/>
      <c r="G1305" s="217"/>
      <c r="H1305" s="218">
        <f>ROUNDUP((H1301)*5.25/1000,0)</f>
        <v>6</v>
      </c>
      <c r="I1305" s="34" t="s">
        <v>55</v>
      </c>
      <c r="J1305" s="204"/>
      <c r="K1305" s="205"/>
      <c r="L1305" s="206"/>
    </row>
    <row r="1306" spans="1:12" s="187" customFormat="1" x14ac:dyDescent="0.2">
      <c r="A1306" s="111">
        <f>IF(F1306&lt;&gt;"",1+MAX($A$7:A1305),"")</f>
        <v>457</v>
      </c>
      <c r="B1306" s="2" t="s">
        <v>112</v>
      </c>
      <c r="C1306" s="2" t="s">
        <v>154</v>
      </c>
      <c r="D1306" s="214"/>
      <c r="E1306" s="213" t="s">
        <v>109</v>
      </c>
      <c r="F1306" s="17">
        <f>93.8*2</f>
        <v>187.6</v>
      </c>
      <c r="G1306" s="127">
        <v>0.1</v>
      </c>
      <c r="H1306" s="33">
        <f>F1306*(1+G1306)</f>
        <v>206.36</v>
      </c>
      <c r="I1306" s="34" t="s">
        <v>15</v>
      </c>
      <c r="J1306" s="204">
        <f>J$148</f>
        <v>0</v>
      </c>
      <c r="K1306" s="205">
        <f>J1306*H1306</f>
        <v>0</v>
      </c>
      <c r="L1306" s="206"/>
    </row>
    <row r="1307" spans="1:12" s="187" customFormat="1" x14ac:dyDescent="0.2">
      <c r="A1307" s="111">
        <f>IF(F1307&lt;&gt;"",1+MAX($A$7:A1306),"")</f>
        <v>458</v>
      </c>
      <c r="B1307" s="2" t="s">
        <v>112</v>
      </c>
      <c r="C1307" s="2" t="s">
        <v>154</v>
      </c>
      <c r="D1307" s="212"/>
      <c r="E1307" s="213" t="s">
        <v>484</v>
      </c>
      <c r="F1307" s="17">
        <f t="shared" ref="F1307" si="79">93.8*9.25</f>
        <v>867.65</v>
      </c>
      <c r="G1307" s="127">
        <v>0.1</v>
      </c>
      <c r="H1307" s="33">
        <f>F1307*(1+G1307)</f>
        <v>954.41500000000008</v>
      </c>
      <c r="I1307" s="34" t="s">
        <v>18</v>
      </c>
      <c r="J1307" s="204">
        <f>J$276</f>
        <v>0</v>
      </c>
      <c r="K1307" s="205">
        <f>J1307*H1307</f>
        <v>0</v>
      </c>
      <c r="L1307" s="206"/>
    </row>
    <row r="1308" spans="1:12" s="187" customFormat="1" x14ac:dyDescent="0.2">
      <c r="A1308" s="111">
        <f>IF(F1308&lt;&gt;"",1+MAX($A$7:A1307),"")</f>
        <v>459</v>
      </c>
      <c r="B1308" s="2" t="s">
        <v>112</v>
      </c>
      <c r="C1308" s="2" t="s">
        <v>154</v>
      </c>
      <c r="D1308" s="212"/>
      <c r="E1308" s="213" t="s">
        <v>156</v>
      </c>
      <c r="F1308" s="17">
        <f>93.8*10</f>
        <v>938</v>
      </c>
      <c r="G1308" s="127">
        <v>0.1</v>
      </c>
      <c r="H1308" s="33">
        <f>F1308*(1+G1308)</f>
        <v>1031.8000000000002</v>
      </c>
      <c r="I1308" s="34" t="s">
        <v>18</v>
      </c>
      <c r="J1308" s="204">
        <f>J$442</f>
        <v>0</v>
      </c>
      <c r="K1308" s="205">
        <f>J1308*H1308</f>
        <v>0</v>
      </c>
      <c r="L1308" s="206"/>
    </row>
    <row r="1309" spans="1:12" s="187" customFormat="1" x14ac:dyDescent="0.2">
      <c r="A1309" s="111" t="str">
        <f>IF(F1309&lt;&gt;"",1+MAX($A$7:A1308),"")</f>
        <v/>
      </c>
      <c r="B1309" s="2"/>
      <c r="C1309" s="2"/>
      <c r="D1309" s="214"/>
      <c r="E1309" s="213"/>
      <c r="F1309" s="17"/>
      <c r="G1309" s="127"/>
      <c r="H1309" s="33"/>
      <c r="I1309" s="34"/>
      <c r="J1309" s="204"/>
      <c r="K1309" s="205"/>
      <c r="L1309" s="206"/>
    </row>
    <row r="1310" spans="1:12" s="187" customFormat="1" x14ac:dyDescent="0.2">
      <c r="A1310" s="111" t="str">
        <f>IF(F1310&lt;&gt;"",1+MAX($A$7:A1309),"")</f>
        <v/>
      </c>
      <c r="B1310" s="207"/>
      <c r="C1310" s="207"/>
      <c r="D1310" s="201"/>
      <c r="E1310" s="208" t="s">
        <v>206</v>
      </c>
      <c r="F1310" s="203"/>
      <c r="G1310" s="25"/>
      <c r="H1310" s="209"/>
      <c r="I1310" s="5"/>
      <c r="J1310" s="210"/>
      <c r="K1310" s="211"/>
      <c r="L1310" s="206"/>
    </row>
    <row r="1311" spans="1:12" s="187" customFormat="1" x14ac:dyDescent="0.2">
      <c r="A1311" s="111">
        <f>IF(F1311&lt;&gt;"",1+MAX($A$7:A1310),"")</f>
        <v>460</v>
      </c>
      <c r="B1311" s="2" t="s">
        <v>112</v>
      </c>
      <c r="C1311" s="2" t="s">
        <v>209</v>
      </c>
      <c r="D1311" s="212"/>
      <c r="E1311" s="213" t="s">
        <v>156</v>
      </c>
      <c r="F1311" s="17">
        <f>(70.3*1.5+153.9*1.67+58.7*2+958.1*4.83)*2</f>
        <v>10214.972000000002</v>
      </c>
      <c r="G1311" s="127">
        <v>0.1</v>
      </c>
      <c r="H1311" s="33">
        <f>F1311*(1+G1311)</f>
        <v>11236.469200000003</v>
      </c>
      <c r="I1311" s="34" t="s">
        <v>18</v>
      </c>
      <c r="J1311" s="204">
        <f>J$442</f>
        <v>0</v>
      </c>
      <c r="K1311" s="205">
        <f>J1311*H1311</f>
        <v>0</v>
      </c>
      <c r="L1311" s="206"/>
    </row>
    <row r="1312" spans="1:12" s="187" customFormat="1" x14ac:dyDescent="0.2">
      <c r="A1312" s="111">
        <f>IF(F1312&lt;&gt;"",1+MAX($A$7:A1311),"")</f>
        <v>461</v>
      </c>
      <c r="B1312" s="2" t="s">
        <v>112</v>
      </c>
      <c r="C1312" s="2" t="s">
        <v>209</v>
      </c>
      <c r="D1312" s="212"/>
      <c r="E1312" s="213" t="s">
        <v>484</v>
      </c>
      <c r="F1312" s="17">
        <f>70.3*1.5+153.9*1.67+58.7*2+958.1*4.83</f>
        <v>5107.4860000000008</v>
      </c>
      <c r="G1312" s="127">
        <v>0.1</v>
      </c>
      <c r="H1312" s="33">
        <f>F1312*(1+G1312)</f>
        <v>5618.2346000000016</v>
      </c>
      <c r="I1312" s="34" t="s">
        <v>18</v>
      </c>
      <c r="J1312" s="204">
        <f>J$276</f>
        <v>0</v>
      </c>
      <c r="K1312" s="205">
        <f>J1312*H1312</f>
        <v>0</v>
      </c>
      <c r="L1312" s="206"/>
    </row>
    <row r="1313" spans="1:14" s="1" customFormat="1" ht="16.5" thickBot="1" x14ac:dyDescent="0.25">
      <c r="A1313" s="111" t="str">
        <f>IF(F1313&lt;&gt;"",1+MAX($A$7:A1312),"")</f>
        <v/>
      </c>
      <c r="B1313" s="45"/>
      <c r="C1313" s="2"/>
      <c r="D1313" s="41"/>
      <c r="F1313" s="46"/>
      <c r="G1313" s="47"/>
      <c r="H1313" s="46"/>
      <c r="I1313" s="48"/>
      <c r="J1313" s="74"/>
      <c r="K1313" s="66"/>
      <c r="L1313" s="58"/>
      <c r="M1313" s="151"/>
    </row>
    <row r="1314" spans="1:14" s="1" customFormat="1" ht="16.5" thickBot="1" x14ac:dyDescent="0.25">
      <c r="A1314" s="111" t="str">
        <f>IF(F1314&lt;&gt;"",1+MAX($A$7:A1313),"")</f>
        <v/>
      </c>
      <c r="B1314" s="2"/>
      <c r="C1314" s="2"/>
      <c r="D1314" s="41"/>
      <c r="E1314" s="55" t="s">
        <v>63</v>
      </c>
      <c r="F1314" s="31"/>
      <c r="G1314" s="25"/>
      <c r="H1314" s="4"/>
      <c r="I1314" s="26"/>
      <c r="J1314" s="75"/>
      <c r="K1314" s="69"/>
      <c r="L1314" s="59">
        <f>SUM(K140:K1313)</f>
        <v>0</v>
      </c>
      <c r="M1314" s="151"/>
    </row>
    <row r="1315" spans="1:14" s="143" customFormat="1" ht="19.5" thickBot="1" x14ac:dyDescent="0.25">
      <c r="A1315" s="111" t="str">
        <f>IF(F1315&lt;&gt;"",1+MAX($A$7:A1314),"")</f>
        <v/>
      </c>
      <c r="B1315" s="122"/>
      <c r="C1315" s="123"/>
      <c r="D1315" s="146"/>
      <c r="E1315" s="138"/>
      <c r="F1315" s="139"/>
      <c r="G1315" s="127"/>
      <c r="H1315" s="140"/>
      <c r="I1315" s="141"/>
      <c r="J1315" s="134"/>
      <c r="K1315" s="142"/>
      <c r="L1315" s="132"/>
      <c r="M1315" s="154"/>
      <c r="N1315" s="147"/>
    </row>
    <row r="1316" spans="1:14" s="1" customFormat="1" ht="16.5" thickBot="1" x14ac:dyDescent="0.25">
      <c r="A1316" s="111" t="str">
        <f>IF(F1316&lt;&gt;"",1+MAX($A$7:A1315),"")</f>
        <v/>
      </c>
      <c r="B1316" s="32"/>
      <c r="C1316" s="219"/>
      <c r="D1316" s="220"/>
      <c r="E1316" s="221" t="s">
        <v>64</v>
      </c>
      <c r="F1316" s="222"/>
      <c r="G1316" s="223"/>
      <c r="H1316" s="224"/>
      <c r="I1316" s="225"/>
      <c r="J1316" s="230"/>
      <c r="K1316" s="231"/>
      <c r="L1316" s="21"/>
      <c r="M1316" s="151"/>
    </row>
    <row r="1317" spans="1:14" s="143" customFormat="1" ht="63" x14ac:dyDescent="0.2">
      <c r="A1317" s="111">
        <f>IF(F1317&lt;&gt;"",1+MAX($A$7:A1316),"")</f>
        <v>462</v>
      </c>
      <c r="B1317" s="2" t="s">
        <v>112</v>
      </c>
      <c r="C1317" s="123" t="s">
        <v>160</v>
      </c>
      <c r="D1317" s="146"/>
      <c r="E1317" s="138" t="s">
        <v>1337</v>
      </c>
      <c r="F1317" s="139">
        <f>8568.9+16403.2+11550</f>
        <v>36522.1</v>
      </c>
      <c r="G1317" s="127">
        <v>0.1</v>
      </c>
      <c r="H1317" s="140">
        <f t="shared" ref="H1317:H1322" si="80">F1317*(1+G1317)</f>
        <v>40174.310000000005</v>
      </c>
      <c r="I1317" s="129" t="s">
        <v>18</v>
      </c>
      <c r="J1317" s="130">
        <v>0</v>
      </c>
      <c r="K1317" s="131">
        <f t="shared" ref="K1317:K1322" si="81">J1317*H1317</f>
        <v>0</v>
      </c>
      <c r="L1317" s="132"/>
      <c r="M1317" s="153"/>
      <c r="N1317" s="147"/>
    </row>
    <row r="1318" spans="1:14" s="143" customFormat="1" ht="63" x14ac:dyDescent="0.2">
      <c r="A1318" s="111">
        <f>IF(F1318&lt;&gt;"",1+MAX($A$7:A1317),"")</f>
        <v>463</v>
      </c>
      <c r="B1318" s="2" t="s">
        <v>112</v>
      </c>
      <c r="C1318" s="123" t="s">
        <v>161</v>
      </c>
      <c r="D1318" s="146"/>
      <c r="E1318" s="138" t="s">
        <v>1290</v>
      </c>
      <c r="F1318" s="139">
        <f>673.1+2190.1</f>
        <v>2863.2</v>
      </c>
      <c r="G1318" s="127">
        <v>0.1</v>
      </c>
      <c r="H1318" s="140">
        <f t="shared" si="80"/>
        <v>3149.52</v>
      </c>
      <c r="I1318" s="129" t="s">
        <v>18</v>
      </c>
      <c r="J1318" s="130">
        <v>0</v>
      </c>
      <c r="K1318" s="131">
        <f t="shared" si="81"/>
        <v>0</v>
      </c>
      <c r="L1318" s="132"/>
      <c r="M1318" s="153"/>
      <c r="N1318" s="147"/>
    </row>
    <row r="1319" spans="1:14" s="143" customFormat="1" ht="31.5" x14ac:dyDescent="0.2">
      <c r="A1319" s="111">
        <f>IF(F1319&lt;&gt;"",1+MAX($A$7:A1318),"")</f>
        <v>464</v>
      </c>
      <c r="B1319" s="2" t="s">
        <v>112</v>
      </c>
      <c r="C1319" s="123" t="s">
        <v>162</v>
      </c>
      <c r="D1319" s="146"/>
      <c r="E1319" s="138" t="s">
        <v>1339</v>
      </c>
      <c r="F1319" s="139">
        <f>1426.4+1132.6+1416.2</f>
        <v>3975.2</v>
      </c>
      <c r="G1319" s="127">
        <v>0.1</v>
      </c>
      <c r="H1319" s="140">
        <f t="shared" si="80"/>
        <v>4372.72</v>
      </c>
      <c r="I1319" s="129" t="s">
        <v>18</v>
      </c>
      <c r="J1319" s="130">
        <v>0</v>
      </c>
      <c r="K1319" s="131">
        <f t="shared" si="81"/>
        <v>0</v>
      </c>
      <c r="L1319" s="132"/>
      <c r="M1319" s="153"/>
      <c r="N1319" s="147"/>
    </row>
    <row r="1320" spans="1:14" s="143" customFormat="1" ht="63" x14ac:dyDescent="0.2">
      <c r="A1320" s="111">
        <f>IF(F1320&lt;&gt;"",1+MAX($A$7:A1319),"")</f>
        <v>465</v>
      </c>
      <c r="B1320" s="2" t="s">
        <v>112</v>
      </c>
      <c r="C1320" s="123" t="s">
        <v>163</v>
      </c>
      <c r="D1320" s="146"/>
      <c r="E1320" s="138" t="s">
        <v>972</v>
      </c>
      <c r="F1320" s="139">
        <f>3051.6+12286.5</f>
        <v>15338.1</v>
      </c>
      <c r="G1320" s="127">
        <v>0.1</v>
      </c>
      <c r="H1320" s="140">
        <f t="shared" si="80"/>
        <v>16871.910000000003</v>
      </c>
      <c r="I1320" s="129" t="s">
        <v>18</v>
      </c>
      <c r="J1320" s="130">
        <v>0</v>
      </c>
      <c r="K1320" s="131">
        <f t="shared" si="81"/>
        <v>0</v>
      </c>
      <c r="L1320" s="132"/>
      <c r="M1320" s="153"/>
      <c r="N1320" s="147"/>
    </row>
    <row r="1321" spans="1:14" s="143" customFormat="1" ht="47.25" x14ac:dyDescent="0.2">
      <c r="A1321" s="111">
        <f>IF(F1321&lt;&gt;"",1+MAX($A$7:A1320),"")</f>
        <v>466</v>
      </c>
      <c r="B1321" s="2" t="s">
        <v>112</v>
      </c>
      <c r="C1321" s="123" t="s">
        <v>160</v>
      </c>
      <c r="D1321" s="146"/>
      <c r="E1321" s="138" t="s">
        <v>973</v>
      </c>
      <c r="F1321" s="139">
        <f>865.6+1463.4+1450.9</f>
        <v>3779.9</v>
      </c>
      <c r="G1321" s="127">
        <v>0.1</v>
      </c>
      <c r="H1321" s="140">
        <f t="shared" si="80"/>
        <v>4157.8900000000003</v>
      </c>
      <c r="I1321" s="141" t="s">
        <v>18</v>
      </c>
      <c r="J1321" s="130">
        <v>0</v>
      </c>
      <c r="K1321" s="131">
        <f t="shared" si="81"/>
        <v>0</v>
      </c>
      <c r="L1321" s="132"/>
      <c r="M1321" s="153"/>
      <c r="N1321" s="147"/>
    </row>
    <row r="1322" spans="1:14" s="143" customFormat="1" ht="31.5" x14ac:dyDescent="0.2">
      <c r="A1322" s="111">
        <f>IF(F1322&lt;&gt;"",1+MAX($A$7:A1321),"")</f>
        <v>467</v>
      </c>
      <c r="B1322" s="2" t="s">
        <v>112</v>
      </c>
      <c r="C1322" s="123" t="s">
        <v>212</v>
      </c>
      <c r="D1322" s="146"/>
      <c r="E1322" s="138" t="s">
        <v>211</v>
      </c>
      <c r="F1322" s="139">
        <f>77.6*2.75</f>
        <v>213.39999999999998</v>
      </c>
      <c r="G1322" s="127">
        <v>0.1</v>
      </c>
      <c r="H1322" s="140">
        <f t="shared" si="80"/>
        <v>234.73999999999998</v>
      </c>
      <c r="I1322" s="129" t="s">
        <v>18</v>
      </c>
      <c r="J1322" s="130">
        <v>0</v>
      </c>
      <c r="K1322" s="131">
        <f t="shared" si="81"/>
        <v>0</v>
      </c>
      <c r="L1322" s="132"/>
      <c r="M1322" s="153"/>
      <c r="N1322" s="147"/>
    </row>
    <row r="1323" spans="1:14" s="143" customFormat="1" ht="31.5" x14ac:dyDescent="0.2">
      <c r="A1323" s="111">
        <f>IF(F1323&lt;&gt;"",1+MAX($A$7:A1322),"")</f>
        <v>468</v>
      </c>
      <c r="B1323" s="2" t="s">
        <v>215</v>
      </c>
      <c r="C1323" s="123" t="s">
        <v>214</v>
      </c>
      <c r="D1323" s="146"/>
      <c r="E1323" s="138" t="s">
        <v>213</v>
      </c>
      <c r="F1323" s="139">
        <f>35.9*10.334+39.3*9.5+55.6*4.25+59.9*4.42</f>
        <v>1245.3986</v>
      </c>
      <c r="G1323" s="127">
        <v>0.1</v>
      </c>
      <c r="H1323" s="140">
        <f t="shared" ref="H1323" si="82">F1323*(1+G1323)</f>
        <v>1369.9384600000001</v>
      </c>
      <c r="I1323" s="129" t="s">
        <v>18</v>
      </c>
      <c r="J1323" s="134">
        <f>J$1322</f>
        <v>0</v>
      </c>
      <c r="K1323" s="131">
        <f t="shared" ref="K1323" si="83">J1323*H1323</f>
        <v>0</v>
      </c>
      <c r="L1323" s="132"/>
      <c r="M1323" s="153"/>
      <c r="N1323" s="147"/>
    </row>
    <row r="1324" spans="1:14" s="143" customFormat="1" ht="94.5" x14ac:dyDescent="0.2">
      <c r="A1324" s="111">
        <f>IF(F1324&lt;&gt;"",1+MAX($A$7:A1323),"")</f>
        <v>469</v>
      </c>
      <c r="B1324" s="2" t="s">
        <v>112</v>
      </c>
      <c r="C1324" s="123" t="s">
        <v>167</v>
      </c>
      <c r="D1324" s="146"/>
      <c r="E1324" s="138" t="s">
        <v>169</v>
      </c>
      <c r="F1324" s="139">
        <f>275.3+82.5</f>
        <v>357.8</v>
      </c>
      <c r="G1324" s="127">
        <v>0.1</v>
      </c>
      <c r="H1324" s="140">
        <f t="shared" ref="H1324" si="84">F1324*(1+G1324)</f>
        <v>393.58000000000004</v>
      </c>
      <c r="I1324" s="129" t="s">
        <v>18</v>
      </c>
      <c r="J1324" s="130">
        <v>0</v>
      </c>
      <c r="K1324" s="131">
        <f t="shared" ref="K1324" si="85">J1324*H1324</f>
        <v>0</v>
      </c>
      <c r="L1324" s="132"/>
      <c r="M1324" s="153"/>
      <c r="N1324" s="147"/>
    </row>
    <row r="1325" spans="1:14" s="1" customFormat="1" ht="19.5" thickBot="1" x14ac:dyDescent="0.25">
      <c r="A1325" s="111" t="str">
        <f>IF(F1325&lt;&gt;"",1+MAX($A$7:A1324),"")</f>
        <v/>
      </c>
      <c r="B1325" s="45"/>
      <c r="C1325" s="2"/>
      <c r="D1325" s="146"/>
      <c r="F1325" s="46"/>
      <c r="G1325" s="47"/>
      <c r="H1325" s="46"/>
      <c r="I1325" s="48"/>
      <c r="J1325" s="74"/>
      <c r="K1325" s="66"/>
      <c r="L1325" s="58"/>
      <c r="M1325" s="151"/>
    </row>
    <row r="1326" spans="1:14" s="1" customFormat="1" ht="19.5" thickBot="1" x14ac:dyDescent="0.25">
      <c r="A1326" s="111" t="str">
        <f>IF(F1326&lt;&gt;"",1+MAX($A$7:A1325),"")</f>
        <v/>
      </c>
      <c r="B1326" s="2"/>
      <c r="C1326" s="2"/>
      <c r="D1326" s="146"/>
      <c r="E1326" s="55" t="s">
        <v>65</v>
      </c>
      <c r="F1326" s="31"/>
      <c r="G1326" s="25"/>
      <c r="H1326" s="4"/>
      <c r="I1326" s="26"/>
      <c r="J1326" s="75"/>
      <c r="K1326" s="69"/>
      <c r="L1326" s="59">
        <f>SUM(K1316:K1325)</f>
        <v>0</v>
      </c>
      <c r="M1326" s="151"/>
    </row>
    <row r="1327" spans="1:14" s="143" customFormat="1" ht="19.5" thickBot="1" x14ac:dyDescent="0.25">
      <c r="A1327" s="111" t="str">
        <f>IF(F1327&lt;&gt;"",1+MAX($A$7:A1326),"")</f>
        <v/>
      </c>
      <c r="B1327" s="122"/>
      <c r="C1327" s="123"/>
      <c r="D1327" s="146"/>
      <c r="E1327" s="138"/>
      <c r="F1327" s="139"/>
      <c r="G1327" s="127"/>
      <c r="H1327" s="140"/>
      <c r="I1327" s="141"/>
      <c r="J1327" s="134"/>
      <c r="K1327" s="142"/>
      <c r="L1327" s="132"/>
      <c r="M1327" s="154"/>
      <c r="N1327" s="147"/>
    </row>
    <row r="1328" spans="1:14" s="1" customFormat="1" ht="16.5" thickBot="1" x14ac:dyDescent="0.25">
      <c r="A1328" s="111" t="str">
        <f>IF(F1328&lt;&gt;"",1+MAX($A$7:A1327),"")</f>
        <v/>
      </c>
      <c r="B1328" s="32"/>
      <c r="C1328" s="219"/>
      <c r="D1328" s="220"/>
      <c r="E1328" s="221" t="s">
        <v>164</v>
      </c>
      <c r="F1328" s="222"/>
      <c r="G1328" s="223"/>
      <c r="H1328" s="224"/>
      <c r="I1328" s="225"/>
      <c r="J1328" s="230"/>
      <c r="K1328" s="231"/>
      <c r="L1328" s="21"/>
      <c r="M1328" s="151"/>
    </row>
    <row r="1329" spans="1:14" s="143" customFormat="1" ht="63" x14ac:dyDescent="0.2">
      <c r="A1329" s="111">
        <f>IF(F1329&lt;&gt;"",1+MAX($A$7:A1328),"")</f>
        <v>470</v>
      </c>
      <c r="B1329" s="2" t="s">
        <v>112</v>
      </c>
      <c r="C1329" s="123" t="s">
        <v>166</v>
      </c>
      <c r="D1329" s="146"/>
      <c r="E1329" s="138" t="s">
        <v>168</v>
      </c>
      <c r="F1329" s="139">
        <f>(4322.9+10.1*0.334+32.8*2.1+232.4*2.67+16.3*3.58)+(5109.8+16.9*0.334+65.3*2.1+394.2*2.67)+(5123.6+16.9*0.334+70.5*2.1+378.4*2.67)+(3177.4+19.9*0.334+15.4*1.58+73.8*2.1+230.5*2.67)</f>
        <v>21645.520199999999</v>
      </c>
      <c r="G1329" s="127">
        <v>0.1</v>
      </c>
      <c r="H1329" s="128">
        <f t="shared" ref="H1329" si="86">F1329*(1+G1329)</f>
        <v>23810.072220000002</v>
      </c>
      <c r="I1329" s="129" t="s">
        <v>18</v>
      </c>
      <c r="J1329" s="130">
        <v>0</v>
      </c>
      <c r="K1329" s="131">
        <f t="shared" ref="K1329" si="87">J1329*H1329</f>
        <v>0</v>
      </c>
      <c r="L1329" s="132"/>
      <c r="M1329" s="153"/>
      <c r="N1329" s="147"/>
    </row>
    <row r="1330" spans="1:14" s="1" customFormat="1" ht="16.5" thickBot="1" x14ac:dyDescent="0.25">
      <c r="A1330" s="111" t="str">
        <f>IF(F1330&lt;&gt;"",1+MAX($A$7:A1329),"")</f>
        <v/>
      </c>
      <c r="B1330" s="45"/>
      <c r="C1330" s="2"/>
      <c r="D1330" s="41"/>
      <c r="F1330" s="46"/>
      <c r="G1330" s="47"/>
      <c r="H1330" s="46"/>
      <c r="I1330" s="48"/>
      <c r="J1330" s="74"/>
      <c r="K1330" s="66"/>
      <c r="L1330" s="58"/>
      <c r="M1330" s="151"/>
    </row>
    <row r="1331" spans="1:14" s="1" customFormat="1" ht="16.5" thickBot="1" x14ac:dyDescent="0.25">
      <c r="A1331" s="111" t="str">
        <f>IF(F1331&lt;&gt;"",1+MAX($A$7:A1330),"")</f>
        <v/>
      </c>
      <c r="B1331" s="2"/>
      <c r="C1331" s="2"/>
      <c r="D1331" s="41"/>
      <c r="E1331" s="55" t="s">
        <v>165</v>
      </c>
      <c r="F1331" s="31"/>
      <c r="G1331" s="25"/>
      <c r="H1331" s="4"/>
      <c r="I1331" s="26"/>
      <c r="J1331" s="75"/>
      <c r="K1331" s="69"/>
      <c r="L1331" s="59">
        <f>SUM(K1328:K1330)</f>
        <v>0</v>
      </c>
      <c r="M1331" s="151"/>
    </row>
    <row r="1332" spans="1:14" s="143" customFormat="1" ht="19.5" thickBot="1" x14ac:dyDescent="0.25">
      <c r="A1332" s="111" t="str">
        <f>IF(F1332&lt;&gt;"",1+MAX($A$7:A1331),"")</f>
        <v/>
      </c>
      <c r="B1332" s="122"/>
      <c r="C1332" s="123"/>
      <c r="D1332" s="146"/>
      <c r="E1332" s="138"/>
      <c r="F1332" s="139"/>
      <c r="G1332" s="127"/>
      <c r="H1332" s="140"/>
      <c r="I1332" s="141"/>
      <c r="J1332" s="134"/>
      <c r="K1332" s="142"/>
      <c r="L1332" s="132"/>
      <c r="M1332" s="154"/>
      <c r="N1332" s="147"/>
    </row>
    <row r="1333" spans="1:14" s="1" customFormat="1" ht="16.5" thickBot="1" x14ac:dyDescent="0.25">
      <c r="A1333" s="111" t="str">
        <f>IF(F1333&lt;&gt;"",1+MAX($A$7:A1332),"")</f>
        <v/>
      </c>
      <c r="B1333" s="32"/>
      <c r="C1333" s="219"/>
      <c r="D1333" s="220"/>
      <c r="E1333" s="221" t="s">
        <v>73</v>
      </c>
      <c r="F1333" s="222"/>
      <c r="G1333" s="223"/>
      <c r="H1333" s="224"/>
      <c r="I1333" s="225"/>
      <c r="J1333" s="230"/>
      <c r="K1333" s="231"/>
      <c r="L1333" s="21"/>
      <c r="M1333" s="151"/>
    </row>
    <row r="1334" spans="1:14" s="133" customFormat="1" ht="31.5" x14ac:dyDescent="0.2">
      <c r="A1334" s="111">
        <f>IF(F1334&lt;&gt;"",1+MAX($A$7:A1333),"")</f>
        <v>471</v>
      </c>
      <c r="B1334" s="2" t="s">
        <v>430</v>
      </c>
      <c r="C1334" s="123" t="s">
        <v>431</v>
      </c>
      <c r="D1334" s="124"/>
      <c r="E1334" s="125" t="s">
        <v>947</v>
      </c>
      <c r="F1334" s="126">
        <v>632.1</v>
      </c>
      <c r="G1334" s="127">
        <v>0.1</v>
      </c>
      <c r="H1334" s="128">
        <f t="shared" ref="H1334:H1336" si="88">F1334*(1+G1334)</f>
        <v>695.31000000000006</v>
      </c>
      <c r="I1334" s="129" t="s">
        <v>18</v>
      </c>
      <c r="J1334" s="130">
        <v>0</v>
      </c>
      <c r="K1334" s="131">
        <f>J1334*H1334</f>
        <v>0</v>
      </c>
      <c r="L1334" s="132"/>
      <c r="M1334" s="153"/>
      <c r="N1334" s="145"/>
    </row>
    <row r="1335" spans="1:14" s="133" customFormat="1" ht="31.5" x14ac:dyDescent="0.2">
      <c r="A1335" s="111">
        <f>IF(F1335&lt;&gt;"",1+MAX($A$7:A1334),"")</f>
        <v>472</v>
      </c>
      <c r="B1335" s="2" t="s">
        <v>430</v>
      </c>
      <c r="C1335" s="123" t="s">
        <v>431</v>
      </c>
      <c r="D1335" s="124"/>
      <c r="E1335" s="125" t="s">
        <v>955</v>
      </c>
      <c r="F1335" s="126">
        <v>150.69999999999999</v>
      </c>
      <c r="G1335" s="127">
        <v>0.1</v>
      </c>
      <c r="H1335" s="128">
        <f t="shared" si="88"/>
        <v>165.77</v>
      </c>
      <c r="I1335" s="129" t="s">
        <v>18</v>
      </c>
      <c r="J1335" s="130">
        <v>0</v>
      </c>
      <c r="K1335" s="131">
        <f>J1335*H1335</f>
        <v>0</v>
      </c>
      <c r="L1335" s="132"/>
      <c r="M1335" s="153"/>
      <c r="N1335" s="145"/>
    </row>
    <row r="1336" spans="1:14" s="133" customFormat="1" ht="31.5" x14ac:dyDescent="0.2">
      <c r="A1336" s="111">
        <f>IF(F1336&lt;&gt;"",1+MAX($A$7:A1335),"")</f>
        <v>473</v>
      </c>
      <c r="B1336" s="2" t="s">
        <v>430</v>
      </c>
      <c r="C1336" s="123" t="s">
        <v>431</v>
      </c>
      <c r="D1336" s="124"/>
      <c r="E1336" s="125" t="s">
        <v>954</v>
      </c>
      <c r="F1336" s="126">
        <f>6*86.19</f>
        <v>517.14</v>
      </c>
      <c r="G1336" s="127">
        <v>0.1</v>
      </c>
      <c r="H1336" s="128">
        <f t="shared" si="88"/>
        <v>568.85400000000004</v>
      </c>
      <c r="I1336" s="129" t="s">
        <v>18</v>
      </c>
      <c r="J1336" s="130">
        <v>0</v>
      </c>
      <c r="K1336" s="131">
        <f>J1336*H1336</f>
        <v>0</v>
      </c>
      <c r="L1336" s="132"/>
      <c r="M1336" s="153"/>
      <c r="N1336" s="145"/>
    </row>
    <row r="1337" spans="1:14" s="1" customFormat="1" ht="16.5" thickBot="1" x14ac:dyDescent="0.25">
      <c r="A1337" s="111" t="str">
        <f>IF(F1337&lt;&gt;"",1+MAX($A$7:A1336),"")</f>
        <v/>
      </c>
      <c r="B1337" s="45"/>
      <c r="C1337" s="2"/>
      <c r="D1337" s="41"/>
      <c r="F1337" s="46"/>
      <c r="G1337" s="47"/>
      <c r="H1337" s="46"/>
      <c r="I1337" s="48"/>
      <c r="J1337" s="74"/>
      <c r="K1337" s="66"/>
      <c r="L1337" s="58"/>
      <c r="M1337" s="151"/>
    </row>
    <row r="1338" spans="1:14" s="1" customFormat="1" ht="16.5" thickBot="1" x14ac:dyDescent="0.25">
      <c r="A1338" s="111" t="str">
        <f>IF(F1338&lt;&gt;"",1+MAX($A$7:A1337),"")</f>
        <v/>
      </c>
      <c r="B1338" s="2"/>
      <c r="C1338" s="2"/>
      <c r="D1338" s="41"/>
      <c r="E1338" s="55" t="s">
        <v>74</v>
      </c>
      <c r="F1338" s="31"/>
      <c r="G1338" s="25"/>
      <c r="H1338" s="4"/>
      <c r="I1338" s="26"/>
      <c r="J1338" s="75"/>
      <c r="K1338" s="69"/>
      <c r="L1338" s="59">
        <f>SUM(K1333:K1337)</f>
        <v>0</v>
      </c>
      <c r="M1338" s="151"/>
    </row>
    <row r="1339" spans="1:14" s="143" customFormat="1" ht="19.5" thickBot="1" x14ac:dyDescent="0.25">
      <c r="A1339" s="111" t="str">
        <f>IF(F1339&lt;&gt;"",1+MAX($A$7:A1338),"")</f>
        <v/>
      </c>
      <c r="B1339" s="122"/>
      <c r="C1339" s="123"/>
      <c r="D1339" s="146"/>
      <c r="E1339" s="138"/>
      <c r="F1339" s="139"/>
      <c r="G1339" s="127"/>
      <c r="H1339" s="140"/>
      <c r="I1339" s="141"/>
      <c r="J1339" s="134"/>
      <c r="K1339" s="142"/>
      <c r="L1339" s="132"/>
      <c r="M1339" s="154"/>
      <c r="N1339" s="147"/>
    </row>
    <row r="1340" spans="1:14" s="1" customFormat="1" ht="16.5" thickBot="1" x14ac:dyDescent="0.25">
      <c r="A1340" s="111" t="str">
        <f>IF(F1340&lt;&gt;"",1+MAX($A$7:A1339),"")</f>
        <v/>
      </c>
      <c r="B1340" s="32"/>
      <c r="C1340" s="219"/>
      <c r="D1340" s="220"/>
      <c r="E1340" s="221" t="s">
        <v>434</v>
      </c>
      <c r="F1340" s="222"/>
      <c r="G1340" s="223"/>
      <c r="H1340" s="224"/>
      <c r="I1340" s="225"/>
      <c r="J1340" s="230"/>
      <c r="K1340" s="231"/>
      <c r="L1340" s="21"/>
      <c r="M1340" s="151"/>
    </row>
    <row r="1341" spans="1:14" s="133" customFormat="1" ht="31.5" x14ac:dyDescent="0.2">
      <c r="A1341" s="111">
        <f>IF(F1341&lt;&gt;"",1+MAX($A$7:A1340),"")</f>
        <v>474</v>
      </c>
      <c r="B1341" s="2" t="s">
        <v>430</v>
      </c>
      <c r="C1341" s="123" t="s">
        <v>431</v>
      </c>
      <c r="D1341" s="124"/>
      <c r="E1341" s="125" t="s">
        <v>953</v>
      </c>
      <c r="F1341" s="126">
        <f>15498+1259.1</f>
        <v>16757.099999999999</v>
      </c>
      <c r="G1341" s="127">
        <v>0.1</v>
      </c>
      <c r="H1341" s="128">
        <f t="shared" ref="H1341" si="89">F1341*(1+G1341)</f>
        <v>18432.810000000001</v>
      </c>
      <c r="I1341" s="129" t="s">
        <v>18</v>
      </c>
      <c r="J1341" s="130">
        <v>0</v>
      </c>
      <c r="K1341" s="131">
        <f>J1341*H1341</f>
        <v>0</v>
      </c>
      <c r="L1341" s="132"/>
      <c r="M1341" s="153"/>
      <c r="N1341" s="145"/>
    </row>
    <row r="1342" spans="1:14" s="1" customFormat="1" ht="16.5" thickBot="1" x14ac:dyDescent="0.25">
      <c r="A1342" s="111" t="str">
        <f>IF(F1342&lt;&gt;"",1+MAX($A$7:A1341),"")</f>
        <v/>
      </c>
      <c r="B1342" s="45"/>
      <c r="C1342" s="2"/>
      <c r="D1342" s="41"/>
      <c r="F1342" s="46"/>
      <c r="G1342" s="47"/>
      <c r="H1342" s="46"/>
      <c r="I1342" s="48"/>
      <c r="J1342" s="74"/>
      <c r="K1342" s="66"/>
      <c r="L1342" s="58"/>
      <c r="M1342" s="151"/>
    </row>
    <row r="1343" spans="1:14" s="1" customFormat="1" ht="16.5" thickBot="1" x14ac:dyDescent="0.25">
      <c r="A1343" s="111" t="str">
        <f>IF(F1343&lt;&gt;"",1+MAX($A$7:A1342),"")</f>
        <v/>
      </c>
      <c r="B1343" s="2"/>
      <c r="C1343" s="2"/>
      <c r="D1343" s="41"/>
      <c r="E1343" s="55" t="s">
        <v>435</v>
      </c>
      <c r="F1343" s="31"/>
      <c r="G1343" s="25"/>
      <c r="H1343" s="4"/>
      <c r="I1343" s="26"/>
      <c r="J1343" s="75"/>
      <c r="K1343" s="69"/>
      <c r="L1343" s="59">
        <f>SUM(K1340:K1342)</f>
        <v>0</v>
      </c>
      <c r="M1343" s="151"/>
    </row>
    <row r="1344" spans="1:14" s="143" customFormat="1" ht="19.5" thickBot="1" x14ac:dyDescent="0.25">
      <c r="A1344" s="111" t="str">
        <f>IF(F1344&lt;&gt;"",1+MAX($A$7:A1343),"")</f>
        <v/>
      </c>
      <c r="B1344" s="122"/>
      <c r="C1344" s="123"/>
      <c r="D1344" s="146"/>
      <c r="E1344" s="138"/>
      <c r="F1344" s="139"/>
      <c r="G1344" s="127"/>
      <c r="H1344" s="140"/>
      <c r="I1344" s="141"/>
      <c r="J1344" s="134"/>
      <c r="K1344" s="142"/>
      <c r="L1344" s="132"/>
      <c r="M1344" s="154"/>
      <c r="N1344" s="147"/>
    </row>
    <row r="1345" spans="1:14" s="1" customFormat="1" ht="16.5" thickBot="1" x14ac:dyDescent="0.25">
      <c r="A1345" s="111" t="str">
        <f>IF(F1345&lt;&gt;"",1+MAX($A$7:A1344),"")</f>
        <v/>
      </c>
      <c r="B1345" s="32"/>
      <c r="C1345" s="219"/>
      <c r="D1345" s="220"/>
      <c r="E1345" s="221" t="s">
        <v>436</v>
      </c>
      <c r="F1345" s="222"/>
      <c r="G1345" s="223"/>
      <c r="H1345" s="224"/>
      <c r="I1345" s="225"/>
      <c r="J1345" s="230"/>
      <c r="K1345" s="231"/>
      <c r="L1345" s="21"/>
      <c r="M1345" s="151"/>
    </row>
    <row r="1346" spans="1:14" s="133" customFormat="1" ht="31.5" x14ac:dyDescent="0.2">
      <c r="A1346" s="111">
        <f>IF(F1346&lt;&gt;"",1+MAX($A$7:A1345),"")</f>
        <v>475</v>
      </c>
      <c r="B1346" s="2" t="s">
        <v>430</v>
      </c>
      <c r="C1346" s="329" t="s">
        <v>431</v>
      </c>
      <c r="D1346" s="124"/>
      <c r="E1346" s="125" t="s">
        <v>952</v>
      </c>
      <c r="F1346" s="126">
        <f>34714+240.65+15498</f>
        <v>50452.65</v>
      </c>
      <c r="G1346" s="127">
        <v>0.1</v>
      </c>
      <c r="H1346" s="128">
        <f t="shared" ref="H1346:H1347" si="90">F1346*(1+G1346)</f>
        <v>55497.915000000008</v>
      </c>
      <c r="I1346" s="129" t="s">
        <v>18</v>
      </c>
      <c r="J1346" s="130">
        <v>0</v>
      </c>
      <c r="K1346" s="131">
        <f>J1346*H1346</f>
        <v>0</v>
      </c>
      <c r="L1346" s="132"/>
      <c r="M1346" s="153"/>
      <c r="N1346" s="145"/>
    </row>
    <row r="1347" spans="1:14" s="133" customFormat="1" ht="31.5" x14ac:dyDescent="0.2">
      <c r="A1347" s="111">
        <f>IF(F1347&lt;&gt;"",1+MAX($A$7:A1346),"")</f>
        <v>476</v>
      </c>
      <c r="B1347" s="2" t="s">
        <v>430</v>
      </c>
      <c r="C1347" s="329" t="s">
        <v>437</v>
      </c>
      <c r="D1347" s="124"/>
      <c r="E1347" s="125" t="s">
        <v>951</v>
      </c>
      <c r="F1347" s="126">
        <v>4779.8</v>
      </c>
      <c r="G1347" s="127">
        <v>0.1</v>
      </c>
      <c r="H1347" s="128">
        <f t="shared" si="90"/>
        <v>5257.7800000000007</v>
      </c>
      <c r="I1347" s="129" t="s">
        <v>18</v>
      </c>
      <c r="J1347" s="134">
        <f>J$1346</f>
        <v>0</v>
      </c>
      <c r="K1347" s="131">
        <f>J1347*H1347</f>
        <v>0</v>
      </c>
      <c r="L1347" s="132"/>
      <c r="M1347" s="153"/>
      <c r="N1347" s="145"/>
    </row>
    <row r="1348" spans="1:14" s="1" customFormat="1" ht="48" thickBot="1" x14ac:dyDescent="0.25">
      <c r="A1348" s="111" t="str">
        <f>IF(F1348&lt;&gt;"",1+MAX($A$7:A1347),"")</f>
        <v/>
      </c>
      <c r="B1348" s="45"/>
      <c r="C1348" s="2"/>
      <c r="D1348" s="41"/>
      <c r="E1348" s="459" t="s">
        <v>956</v>
      </c>
      <c r="F1348" s="46"/>
      <c r="G1348" s="47"/>
      <c r="H1348" s="46"/>
      <c r="I1348" s="48"/>
      <c r="J1348" s="74"/>
      <c r="K1348" s="66"/>
      <c r="L1348" s="58"/>
      <c r="M1348" s="151"/>
    </row>
    <row r="1349" spans="1:14" s="1" customFormat="1" ht="16.5" thickBot="1" x14ac:dyDescent="0.25">
      <c r="A1349" s="111" t="str">
        <f>IF(F1349&lt;&gt;"",1+MAX($A$7:A1348),"")</f>
        <v/>
      </c>
      <c r="B1349" s="2"/>
      <c r="C1349" s="2"/>
      <c r="D1349" s="41"/>
      <c r="E1349" s="55" t="s">
        <v>438</v>
      </c>
      <c r="F1349" s="31"/>
      <c r="G1349" s="25"/>
      <c r="H1349" s="4"/>
      <c r="I1349" s="26"/>
      <c r="J1349" s="75"/>
      <c r="K1349" s="69"/>
      <c r="L1349" s="59">
        <f>SUM(K1345:K1348)</f>
        <v>0</v>
      </c>
      <c r="M1349" s="151"/>
    </row>
    <row r="1350" spans="1:14" s="143" customFormat="1" ht="19.5" thickBot="1" x14ac:dyDescent="0.25">
      <c r="A1350" s="111" t="str">
        <f>IF(F1350&lt;&gt;"",1+MAX($A$7:A1349),"")</f>
        <v/>
      </c>
      <c r="B1350" s="122"/>
      <c r="C1350" s="123"/>
      <c r="D1350" s="146"/>
      <c r="E1350" s="138"/>
      <c r="F1350" s="139"/>
      <c r="G1350" s="127"/>
      <c r="H1350" s="140"/>
      <c r="I1350" s="141"/>
      <c r="J1350" s="134"/>
      <c r="K1350" s="142"/>
      <c r="L1350" s="132"/>
      <c r="M1350" s="154"/>
      <c r="N1350" s="147"/>
    </row>
    <row r="1351" spans="1:14" s="1" customFormat="1" ht="16.5" thickBot="1" x14ac:dyDescent="0.25">
      <c r="A1351" s="111" t="str">
        <f>IF(F1351&lt;&gt;"",1+MAX($A$7:A1350),"")</f>
        <v/>
      </c>
      <c r="B1351" s="32"/>
      <c r="C1351" s="219"/>
      <c r="D1351" s="220"/>
      <c r="E1351" s="221" t="s">
        <v>439</v>
      </c>
      <c r="F1351" s="222"/>
      <c r="G1351" s="223"/>
      <c r="H1351" s="224"/>
      <c r="I1351" s="225"/>
      <c r="J1351" s="230"/>
      <c r="K1351" s="231"/>
      <c r="L1351" s="21"/>
      <c r="M1351" s="151"/>
    </row>
    <row r="1352" spans="1:14" s="133" customFormat="1" ht="18.75" x14ac:dyDescent="0.2">
      <c r="A1352" s="111">
        <f>IF(F1352&lt;&gt;"",1+MAX($A$7:A1351),"")</f>
        <v>477</v>
      </c>
      <c r="B1352" s="2" t="s">
        <v>430</v>
      </c>
      <c r="C1352" s="329" t="s">
        <v>431</v>
      </c>
      <c r="D1352" s="124"/>
      <c r="E1352" s="125" t="s">
        <v>440</v>
      </c>
      <c r="F1352" s="126">
        <f>30129.7+1366.62</f>
        <v>31496.32</v>
      </c>
      <c r="G1352" s="127">
        <v>0.1</v>
      </c>
      <c r="H1352" s="128">
        <f t="shared" ref="H1352" si="91">F1352*(1+G1352)</f>
        <v>34645.952000000005</v>
      </c>
      <c r="I1352" s="129" t="s">
        <v>18</v>
      </c>
      <c r="J1352" s="130">
        <v>0</v>
      </c>
      <c r="K1352" s="131">
        <f>J1352*H1352</f>
        <v>0</v>
      </c>
      <c r="L1352" s="132"/>
      <c r="M1352" s="153"/>
      <c r="N1352" s="145"/>
    </row>
    <row r="1353" spans="1:14" s="1" customFormat="1" ht="32.25" thickBot="1" x14ac:dyDescent="0.25">
      <c r="A1353" s="111" t="str">
        <f>IF(F1353&lt;&gt;"",1+MAX($A$7:A1352),"")</f>
        <v/>
      </c>
      <c r="B1353" s="45"/>
      <c r="C1353" s="2"/>
      <c r="D1353" s="41"/>
      <c r="E1353" s="459" t="s">
        <v>948</v>
      </c>
      <c r="F1353" s="46"/>
      <c r="G1353" s="47"/>
      <c r="H1353" s="46"/>
      <c r="I1353" s="48"/>
      <c r="J1353" s="74"/>
      <c r="K1353" s="66"/>
      <c r="L1353" s="58"/>
      <c r="M1353" s="151"/>
    </row>
    <row r="1354" spans="1:14" s="1" customFormat="1" ht="16.5" thickBot="1" x14ac:dyDescent="0.25">
      <c r="A1354" s="111" t="str">
        <f>IF(F1354&lt;&gt;"",1+MAX($A$7:A1353),"")</f>
        <v/>
      </c>
      <c r="B1354" s="2"/>
      <c r="C1354" s="2"/>
      <c r="D1354" s="41"/>
      <c r="E1354" s="55" t="s">
        <v>441</v>
      </c>
      <c r="F1354" s="31"/>
      <c r="G1354" s="25"/>
      <c r="H1354" s="4"/>
      <c r="I1354" s="26"/>
      <c r="J1354" s="75"/>
      <c r="K1354" s="69"/>
      <c r="L1354" s="59">
        <f>SUM(K1351:K1353)</f>
        <v>0</v>
      </c>
      <c r="M1354" s="151"/>
    </row>
    <row r="1355" spans="1:14" s="143" customFormat="1" ht="19.5" thickBot="1" x14ac:dyDescent="0.25">
      <c r="A1355" s="111" t="str">
        <f>IF(F1355&lt;&gt;"",1+MAX($A$7:A1354),"")</f>
        <v/>
      </c>
      <c r="B1355" s="122"/>
      <c r="C1355" s="123"/>
      <c r="D1355" s="146"/>
      <c r="E1355" s="138"/>
      <c r="F1355" s="139"/>
      <c r="G1355" s="127"/>
      <c r="H1355" s="140"/>
      <c r="I1355" s="141"/>
      <c r="J1355" s="134"/>
      <c r="K1355" s="142"/>
      <c r="L1355" s="132"/>
      <c r="M1355" s="154"/>
      <c r="N1355" s="147"/>
    </row>
    <row r="1356" spans="1:14" s="1" customFormat="1" ht="16.5" thickBot="1" x14ac:dyDescent="0.25">
      <c r="A1356" s="111" t="str">
        <f>IF(F1356&lt;&gt;"",1+MAX($A$7:A1355),"")</f>
        <v/>
      </c>
      <c r="B1356" s="32"/>
      <c r="C1356" s="219"/>
      <c r="D1356" s="220"/>
      <c r="E1356" s="221" t="s">
        <v>432</v>
      </c>
      <c r="F1356" s="222"/>
      <c r="G1356" s="223"/>
      <c r="H1356" s="224"/>
      <c r="I1356" s="225"/>
      <c r="J1356" s="230"/>
      <c r="K1356" s="231"/>
      <c r="L1356" s="21"/>
      <c r="M1356" s="151"/>
    </row>
    <row r="1357" spans="1:14" s="133" customFormat="1" ht="31.5" x14ac:dyDescent="0.2">
      <c r="A1357" s="111">
        <f>IF(F1357&lt;&gt;"",1+MAX($A$7:A1356),"")</f>
        <v>478</v>
      </c>
      <c r="B1357" s="2" t="s">
        <v>430</v>
      </c>
      <c r="C1357" s="123" t="s">
        <v>431</v>
      </c>
      <c r="D1357" s="124"/>
      <c r="E1357" s="125" t="s">
        <v>950</v>
      </c>
      <c r="F1357" s="126">
        <f>15720.1+1043.17</f>
        <v>16763.27</v>
      </c>
      <c r="G1357" s="127">
        <v>0.1</v>
      </c>
      <c r="H1357" s="128">
        <f t="shared" ref="H1357:H1358" si="92">F1357*(1+G1357)</f>
        <v>18439.597000000002</v>
      </c>
      <c r="I1357" s="129" t="s">
        <v>18</v>
      </c>
      <c r="J1357" s="130">
        <v>0</v>
      </c>
      <c r="K1357" s="131">
        <f>J1357*H1357</f>
        <v>0</v>
      </c>
      <c r="L1357" s="132"/>
      <c r="M1357" s="153"/>
      <c r="N1357" s="145"/>
    </row>
    <row r="1358" spans="1:14" s="133" customFormat="1" ht="31.5" x14ac:dyDescent="0.2">
      <c r="A1358" s="111">
        <f>IF(F1358&lt;&gt;"",1+MAX($A$7:A1357),"")</f>
        <v>479</v>
      </c>
      <c r="B1358" s="2" t="s">
        <v>430</v>
      </c>
      <c r="C1358" s="123" t="s">
        <v>431</v>
      </c>
      <c r="D1358" s="124"/>
      <c r="E1358" s="125" t="s">
        <v>949</v>
      </c>
      <c r="F1358" s="126">
        <v>1631</v>
      </c>
      <c r="G1358" s="127">
        <v>0.1</v>
      </c>
      <c r="H1358" s="128">
        <f t="shared" si="92"/>
        <v>1794.1000000000001</v>
      </c>
      <c r="I1358" s="129" t="s">
        <v>18</v>
      </c>
      <c r="J1358" s="134">
        <f>J$1357</f>
        <v>0</v>
      </c>
      <c r="K1358" s="131">
        <f>J1358*H1358</f>
        <v>0</v>
      </c>
      <c r="L1358" s="132"/>
      <c r="M1358" s="153"/>
      <c r="N1358" s="145"/>
    </row>
    <row r="1359" spans="1:14" s="1" customFormat="1" ht="48" thickBot="1" x14ac:dyDescent="0.25">
      <c r="A1359" s="111" t="str">
        <f>IF(F1359&lt;&gt;"",1+MAX($A$7:A1358),"")</f>
        <v/>
      </c>
      <c r="B1359" s="45"/>
      <c r="C1359" s="2"/>
      <c r="D1359" s="41"/>
      <c r="E1359" s="459" t="s">
        <v>957</v>
      </c>
      <c r="F1359" s="46"/>
      <c r="G1359" s="47"/>
      <c r="H1359" s="46"/>
      <c r="I1359" s="48"/>
      <c r="J1359" s="74"/>
      <c r="K1359" s="66"/>
      <c r="L1359" s="58"/>
      <c r="M1359" s="151"/>
    </row>
    <row r="1360" spans="1:14" s="1" customFormat="1" ht="16.5" thickBot="1" x14ac:dyDescent="0.25">
      <c r="A1360" s="111" t="str">
        <f>IF(F1360&lt;&gt;"",1+MAX($A$7:A1359),"")</f>
        <v/>
      </c>
      <c r="B1360" s="2"/>
      <c r="C1360" s="2"/>
      <c r="D1360" s="41"/>
      <c r="E1360" s="55" t="s">
        <v>433</v>
      </c>
      <c r="F1360" s="31"/>
      <c r="G1360" s="25"/>
      <c r="H1360" s="4"/>
      <c r="I1360" s="26"/>
      <c r="J1360" s="75"/>
      <c r="K1360" s="69"/>
      <c r="L1360" s="59">
        <f>SUM(K1356:K1359)</f>
        <v>0</v>
      </c>
      <c r="M1360" s="151"/>
    </row>
    <row r="1361" spans="1:14" s="143" customFormat="1" ht="19.5" thickBot="1" x14ac:dyDescent="0.25">
      <c r="A1361" s="111" t="str">
        <f>IF(F1361&lt;&gt;"",1+MAX($A$7:A1360),"")</f>
        <v/>
      </c>
      <c r="B1361" s="122"/>
      <c r="C1361" s="123"/>
      <c r="D1361" s="146"/>
      <c r="E1361" s="138"/>
      <c r="F1361" s="139"/>
      <c r="G1361" s="127"/>
      <c r="H1361" s="140"/>
      <c r="I1361" s="141"/>
      <c r="J1361" s="134"/>
      <c r="K1361" s="142"/>
      <c r="L1361" s="132"/>
      <c r="M1361" s="154"/>
      <c r="N1361" s="147"/>
    </row>
    <row r="1362" spans="1:14" s="1" customFormat="1" ht="16.5" thickBot="1" x14ac:dyDescent="0.25">
      <c r="A1362" s="111" t="str">
        <f>IF(F1362&lt;&gt;"",1+MAX($A$7:A1361),"")</f>
        <v/>
      </c>
      <c r="B1362" s="32"/>
      <c r="C1362" s="219"/>
      <c r="D1362" s="220"/>
      <c r="E1362" s="221" t="s">
        <v>965</v>
      </c>
      <c r="F1362" s="222"/>
      <c r="G1362" s="223"/>
      <c r="H1362" s="224"/>
      <c r="I1362" s="225"/>
      <c r="J1362" s="230"/>
      <c r="K1362" s="231"/>
      <c r="L1362" s="21"/>
      <c r="M1362" s="151"/>
    </row>
    <row r="1363" spans="1:14" s="143" customFormat="1" ht="31.5" x14ac:dyDescent="0.2">
      <c r="A1363" s="111">
        <f>IF(F1363&lt;&gt;"",1+MAX($A$7:A1362),"")</f>
        <v>480</v>
      </c>
      <c r="B1363" s="2" t="s">
        <v>112</v>
      </c>
      <c r="C1363" s="123" t="s">
        <v>971</v>
      </c>
      <c r="D1363" s="463"/>
      <c r="E1363" s="138" t="s">
        <v>970</v>
      </c>
      <c r="F1363" s="139">
        <f>8568.9+16403.2+11550+3780</f>
        <v>40302.1</v>
      </c>
      <c r="G1363" s="127">
        <v>0.1</v>
      </c>
      <c r="H1363" s="128">
        <f t="shared" ref="H1363" si="93">F1363*(1+G1363)</f>
        <v>44332.310000000005</v>
      </c>
      <c r="I1363" s="129" t="s">
        <v>18</v>
      </c>
      <c r="J1363" s="130">
        <v>0</v>
      </c>
      <c r="K1363" s="131">
        <f t="shared" ref="K1363" si="94">J1363*H1363</f>
        <v>0</v>
      </c>
      <c r="L1363" s="132"/>
      <c r="M1363" s="153"/>
      <c r="N1363" s="147"/>
    </row>
    <row r="1364" spans="1:14" s="1" customFormat="1" ht="16.5" thickBot="1" x14ac:dyDescent="0.25">
      <c r="A1364" s="111" t="str">
        <f>IF(F1364&lt;&gt;"",1+MAX($A$7:A1363),"")</f>
        <v/>
      </c>
      <c r="B1364" s="45"/>
      <c r="C1364" s="2"/>
      <c r="D1364" s="41"/>
      <c r="F1364" s="46"/>
      <c r="G1364" s="47"/>
      <c r="H1364" s="46"/>
      <c r="I1364" s="48"/>
      <c r="J1364" s="74"/>
      <c r="K1364" s="66"/>
      <c r="L1364" s="58"/>
      <c r="M1364" s="151"/>
    </row>
    <row r="1365" spans="1:14" s="1" customFormat="1" ht="16.5" thickBot="1" x14ac:dyDescent="0.25">
      <c r="A1365" s="111" t="str">
        <f>IF(F1365&lt;&gt;"",1+MAX($A$7:A1364),"")</f>
        <v/>
      </c>
      <c r="B1365" s="2"/>
      <c r="C1365" s="2"/>
      <c r="D1365" s="41"/>
      <c r="E1365" s="55" t="s">
        <v>966</v>
      </c>
      <c r="F1365" s="31"/>
      <c r="G1365" s="25"/>
      <c r="H1365" s="4"/>
      <c r="I1365" s="26"/>
      <c r="J1365" s="75"/>
      <c r="K1365" s="69"/>
      <c r="L1365" s="59">
        <f>SUM(K1362:K1364)</f>
        <v>0</v>
      </c>
      <c r="M1365" s="151"/>
    </row>
    <row r="1366" spans="1:14" s="143" customFormat="1" ht="19.5" thickBot="1" x14ac:dyDescent="0.25">
      <c r="A1366" s="111" t="str">
        <f>IF(F1366&lt;&gt;"",1+MAX($A$7:A1365),"")</f>
        <v/>
      </c>
      <c r="B1366" s="122"/>
      <c r="C1366" s="123"/>
      <c r="D1366" s="146"/>
      <c r="E1366" s="138"/>
      <c r="F1366" s="139"/>
      <c r="G1366" s="127"/>
      <c r="H1366" s="140"/>
      <c r="I1366" s="141"/>
      <c r="J1366" s="134"/>
      <c r="K1366" s="142"/>
      <c r="L1366" s="132"/>
      <c r="M1366" s="154"/>
      <c r="N1366" s="147"/>
    </row>
    <row r="1367" spans="1:14" s="1" customFormat="1" ht="16.5" thickBot="1" x14ac:dyDescent="0.25">
      <c r="A1367" s="111" t="str">
        <f>IF(F1367&lt;&gt;"",1+MAX($A$7:A1366),"")</f>
        <v/>
      </c>
      <c r="B1367" s="32"/>
      <c r="C1367" s="219"/>
      <c r="D1367" s="220"/>
      <c r="E1367" s="221" t="s">
        <v>967</v>
      </c>
      <c r="F1367" s="222"/>
      <c r="G1367" s="223"/>
      <c r="H1367" s="224"/>
      <c r="I1367" s="225"/>
      <c r="J1367" s="230"/>
      <c r="K1367" s="231"/>
      <c r="L1367" s="21"/>
      <c r="M1367" s="151"/>
    </row>
    <row r="1368" spans="1:14" s="143" customFormat="1" ht="18.75" x14ac:dyDescent="0.2">
      <c r="A1368" s="111">
        <f>IF(F1368&lt;&gt;"",1+MAX($A$7:A1367),"")</f>
        <v>481</v>
      </c>
      <c r="B1368" s="2" t="s">
        <v>112</v>
      </c>
      <c r="C1368" s="123" t="s">
        <v>162</v>
      </c>
      <c r="D1368" s="462"/>
      <c r="E1368" s="138" t="s">
        <v>969</v>
      </c>
      <c r="F1368" s="139">
        <f>1426.4+1132.6+1416.2</f>
        <v>3975.2</v>
      </c>
      <c r="G1368" s="127">
        <v>0.1</v>
      </c>
      <c r="H1368" s="128">
        <f t="shared" ref="H1368" si="95">F1368*(1+G1368)</f>
        <v>4372.72</v>
      </c>
      <c r="I1368" s="129" t="s">
        <v>18</v>
      </c>
      <c r="J1368" s="130">
        <v>0</v>
      </c>
      <c r="K1368" s="131">
        <f t="shared" ref="K1368" si="96">J1368*H1368</f>
        <v>0</v>
      </c>
      <c r="L1368" s="132"/>
      <c r="M1368" s="153"/>
      <c r="N1368" s="147"/>
    </row>
    <row r="1369" spans="1:14" s="1" customFormat="1" ht="16.5" thickBot="1" x14ac:dyDescent="0.25">
      <c r="A1369" s="111" t="str">
        <f>IF(F1369&lt;&gt;"",1+MAX($A$7:A1368),"")</f>
        <v/>
      </c>
      <c r="B1369" s="45"/>
      <c r="C1369" s="2"/>
      <c r="D1369" s="41"/>
      <c r="F1369" s="46"/>
      <c r="G1369" s="47"/>
      <c r="H1369" s="46"/>
      <c r="I1369" s="48"/>
      <c r="J1369" s="74"/>
      <c r="K1369" s="66"/>
      <c r="L1369" s="58"/>
      <c r="M1369" s="151"/>
    </row>
    <row r="1370" spans="1:14" s="1" customFormat="1" ht="16.5" thickBot="1" x14ac:dyDescent="0.25">
      <c r="A1370" s="111" t="str">
        <f>IF(F1370&lt;&gt;"",1+MAX($A$7:A1369),"")</f>
        <v/>
      </c>
      <c r="B1370" s="2"/>
      <c r="C1370" s="2"/>
      <c r="D1370" s="41"/>
      <c r="E1370" s="55" t="s">
        <v>968</v>
      </c>
      <c r="F1370" s="31"/>
      <c r="G1370" s="25"/>
      <c r="H1370" s="4"/>
      <c r="I1370" s="26"/>
      <c r="J1370" s="75"/>
      <c r="K1370" s="69"/>
      <c r="L1370" s="59">
        <f>SUM(K1367:K1369)</f>
        <v>0</v>
      </c>
      <c r="M1370" s="151"/>
    </row>
    <row r="1371" spans="1:14" s="143" customFormat="1" ht="19.5" thickBot="1" x14ac:dyDescent="0.25">
      <c r="A1371" s="111" t="str">
        <f>IF(F1371&lt;&gt;"",1+MAX($A$7:A1370),"")</f>
        <v/>
      </c>
      <c r="B1371" s="122"/>
      <c r="C1371" s="123"/>
      <c r="D1371" s="146"/>
      <c r="E1371" s="138"/>
      <c r="F1371" s="139"/>
      <c r="G1371" s="127"/>
      <c r="H1371" s="140"/>
      <c r="I1371" s="141"/>
      <c r="J1371" s="134"/>
      <c r="K1371" s="142"/>
      <c r="L1371" s="132"/>
      <c r="M1371" s="154"/>
      <c r="N1371" s="147"/>
    </row>
    <row r="1372" spans="1:14" s="1" customFormat="1" ht="16.5" thickBot="1" x14ac:dyDescent="0.25">
      <c r="A1372" s="111" t="str">
        <f>IF(F1372&lt;&gt;"",1+MAX($A$7:A1371),"")</f>
        <v/>
      </c>
      <c r="B1372" s="32"/>
      <c r="C1372" s="219"/>
      <c r="D1372" s="220"/>
      <c r="E1372" s="221" t="s">
        <v>70</v>
      </c>
      <c r="F1372" s="222"/>
      <c r="G1372" s="232"/>
      <c r="H1372" s="224"/>
      <c r="I1372" s="225"/>
      <c r="J1372" s="230"/>
      <c r="K1372" s="231"/>
      <c r="L1372" s="21"/>
      <c r="M1372" s="151"/>
    </row>
    <row r="1373" spans="1:14" s="1" customFormat="1" x14ac:dyDescent="0.2">
      <c r="A1373" s="111" t="str">
        <f>IF(F1373&lt;&gt;"",1+MAX($A$7:A1372),"")</f>
        <v/>
      </c>
      <c r="B1373" s="2"/>
      <c r="C1373" s="2"/>
      <c r="D1373" s="41"/>
      <c r="E1373" s="196" t="s">
        <v>170</v>
      </c>
      <c r="F1373" s="31"/>
      <c r="G1373" s="25"/>
      <c r="H1373" s="4"/>
      <c r="I1373" s="26"/>
      <c r="J1373" s="75"/>
      <c r="K1373" s="65"/>
      <c r="L1373" s="58"/>
      <c r="M1373" s="151"/>
    </row>
    <row r="1374" spans="1:14" s="133" customFormat="1" ht="63" x14ac:dyDescent="0.2">
      <c r="A1374" s="111">
        <f>IF(F1374&lt;&gt;"",1+MAX($A$7:A1373),"")</f>
        <v>482</v>
      </c>
      <c r="B1374" s="2" t="s">
        <v>173</v>
      </c>
      <c r="C1374" s="123" t="s">
        <v>172</v>
      </c>
      <c r="D1374" s="124"/>
      <c r="E1374" s="138" t="s">
        <v>171</v>
      </c>
      <c r="F1374" s="126">
        <f>24900.7+71.8*0.5+56.7*0.58+133*1+109.9*1.334+38*1.42+397.4*1.5+11.1*2+38.1*4.42+38.1*5+1078.6*8+58.7*2*2+79.4*3.83+41.6*4.83+31.6*4.83*2+89*7+44*2.334</f>
        <v>36679.836600000002</v>
      </c>
      <c r="G1374" s="127">
        <v>0.1</v>
      </c>
      <c r="H1374" s="128">
        <f t="shared" ref="H1374" si="97">F1374*(1+G1374)</f>
        <v>40347.820260000008</v>
      </c>
      <c r="I1374" s="129" t="s">
        <v>18</v>
      </c>
      <c r="J1374" s="130">
        <v>0</v>
      </c>
      <c r="K1374" s="131">
        <f t="shared" ref="K1374" si="98">J1374*H1374</f>
        <v>0</v>
      </c>
      <c r="L1374" s="132"/>
      <c r="M1374" s="153"/>
      <c r="N1374" s="145"/>
    </row>
    <row r="1375" spans="1:14" s="133" customFormat="1" ht="63" x14ac:dyDescent="0.2">
      <c r="A1375" s="111">
        <f>IF(F1375&lt;&gt;"",1+MAX($A$7:A1374),"")</f>
        <v>483</v>
      </c>
      <c r="B1375" s="2" t="s">
        <v>173</v>
      </c>
      <c r="C1375" s="123" t="s">
        <v>172</v>
      </c>
      <c r="D1375" s="124"/>
      <c r="E1375" s="138" t="s">
        <v>174</v>
      </c>
      <c r="F1375" s="126">
        <f>3924+9.2*0.67+87*1+41.9*1.83+81.9*1.167+186.3*1.5+9.2*1.67+9.2*1.75+18.3*2.42</f>
        <v>4544.6183000000001</v>
      </c>
      <c r="G1375" s="127">
        <v>0.1</v>
      </c>
      <c r="H1375" s="128">
        <f t="shared" ref="H1375" si="99">F1375*(1+G1375)</f>
        <v>4999.0801300000003</v>
      </c>
      <c r="I1375" s="129" t="s">
        <v>18</v>
      </c>
      <c r="J1375" s="134">
        <f t="shared" ref="J1375:J1376" si="100">J$1374</f>
        <v>0</v>
      </c>
      <c r="K1375" s="131">
        <f t="shared" ref="K1375" si="101">J1375*H1375</f>
        <v>0</v>
      </c>
      <c r="L1375" s="132"/>
      <c r="M1375" s="153"/>
      <c r="N1375" s="145"/>
    </row>
    <row r="1376" spans="1:14" s="133" customFormat="1" ht="63" x14ac:dyDescent="0.2">
      <c r="A1376" s="111">
        <f>IF(F1376&lt;&gt;"",1+MAX($A$7:A1375),"")</f>
        <v>484</v>
      </c>
      <c r="B1376" s="2" t="s">
        <v>173</v>
      </c>
      <c r="C1376" s="123" t="s">
        <v>172</v>
      </c>
      <c r="D1376" s="124"/>
      <c r="E1376" s="138" t="s">
        <v>175</v>
      </c>
      <c r="F1376" s="126">
        <f>616.1+80*2.334</f>
        <v>802.82</v>
      </c>
      <c r="G1376" s="127">
        <v>0.1</v>
      </c>
      <c r="H1376" s="128">
        <f t="shared" ref="H1376:H1377" si="102">F1376*(1+G1376)</f>
        <v>883.10200000000009</v>
      </c>
      <c r="I1376" s="129" t="s">
        <v>18</v>
      </c>
      <c r="J1376" s="134">
        <f t="shared" si="100"/>
        <v>0</v>
      </c>
      <c r="K1376" s="131">
        <f t="shared" ref="K1376:K1377" si="103">J1376*H1376</f>
        <v>0</v>
      </c>
      <c r="L1376" s="132"/>
      <c r="M1376" s="153"/>
      <c r="N1376" s="145"/>
    </row>
    <row r="1377" spans="1:14" s="133" customFormat="1" ht="78.75" x14ac:dyDescent="0.2">
      <c r="A1377" s="111">
        <f>IF(F1377&lt;&gt;"",1+MAX($A$7:A1376),"")</f>
        <v>485</v>
      </c>
      <c r="B1377" s="2" t="s">
        <v>173</v>
      </c>
      <c r="C1377" s="123" t="s">
        <v>172</v>
      </c>
      <c r="D1377" s="124"/>
      <c r="E1377" s="138" t="s">
        <v>217</v>
      </c>
      <c r="F1377" s="126">
        <f>9.8*2.334+80.2*3.83+97.2*2.1+80.8*4.167+27.5*5.334</f>
        <v>1017.5378000000001</v>
      </c>
      <c r="G1377" s="127">
        <v>0.1</v>
      </c>
      <c r="H1377" s="128">
        <f t="shared" si="102"/>
        <v>1119.2915800000001</v>
      </c>
      <c r="I1377" s="129" t="s">
        <v>18</v>
      </c>
      <c r="J1377" s="130">
        <v>0</v>
      </c>
      <c r="K1377" s="131">
        <f t="shared" si="103"/>
        <v>0</v>
      </c>
      <c r="L1377" s="132"/>
      <c r="M1377" s="153"/>
      <c r="N1377" s="145"/>
    </row>
    <row r="1378" spans="1:14" s="133" customFormat="1" ht="94.5" x14ac:dyDescent="0.2">
      <c r="A1378" s="111">
        <f>IF(F1378&lt;&gt;"",1+MAX($A$7:A1377),"")</f>
        <v>486</v>
      </c>
      <c r="B1378" s="2" t="s">
        <v>173</v>
      </c>
      <c r="C1378" s="123" t="s">
        <v>172</v>
      </c>
      <c r="D1378" s="463"/>
      <c r="E1378" s="138" t="s">
        <v>974</v>
      </c>
      <c r="F1378" s="126">
        <f>36.6*5.25</f>
        <v>192.15</v>
      </c>
      <c r="G1378" s="127">
        <v>0.1</v>
      </c>
      <c r="H1378" s="128">
        <f t="shared" ref="H1378" si="104">F1378*(1+G1378)</f>
        <v>211.36500000000004</v>
      </c>
      <c r="I1378" s="129" t="s">
        <v>18</v>
      </c>
      <c r="J1378" s="130">
        <v>0</v>
      </c>
      <c r="K1378" s="131">
        <f t="shared" ref="K1378" si="105">J1378*H1378</f>
        <v>0</v>
      </c>
      <c r="L1378" s="132"/>
      <c r="M1378" s="153"/>
      <c r="N1378" s="145"/>
    </row>
    <row r="1379" spans="1:14" s="133" customFormat="1" ht="78.75" x14ac:dyDescent="0.2">
      <c r="A1379" s="111">
        <f>IF(F1379&lt;&gt;"",1+MAX($A$7:A1378),"")</f>
        <v>487</v>
      </c>
      <c r="B1379" s="2" t="s">
        <v>173</v>
      </c>
      <c r="C1379" s="123" t="s">
        <v>172</v>
      </c>
      <c r="D1379" s="463"/>
      <c r="E1379" s="138" t="s">
        <v>218</v>
      </c>
      <c r="F1379" s="126">
        <f>12.8*1.167</f>
        <v>14.937600000000002</v>
      </c>
      <c r="G1379" s="127">
        <v>0.1</v>
      </c>
      <c r="H1379" s="128">
        <f t="shared" ref="H1379:H1380" si="106">F1379*(1+G1379)</f>
        <v>16.431360000000002</v>
      </c>
      <c r="I1379" s="129" t="s">
        <v>18</v>
      </c>
      <c r="J1379" s="134">
        <f>J$1377</f>
        <v>0</v>
      </c>
      <c r="K1379" s="131">
        <f t="shared" ref="K1379:K1380" si="107">J1379*H1379</f>
        <v>0</v>
      </c>
      <c r="L1379" s="132"/>
      <c r="M1379" s="153"/>
      <c r="N1379" s="145"/>
    </row>
    <row r="1380" spans="1:14" s="143" customFormat="1" ht="63" x14ac:dyDescent="0.2">
      <c r="A1380" s="111">
        <f>IF(F1380&lt;&gt;"",1+MAX($A$7:A1379),"")</f>
        <v>488</v>
      </c>
      <c r="B1380" s="2" t="s">
        <v>112</v>
      </c>
      <c r="C1380" s="123" t="s">
        <v>162</v>
      </c>
      <c r="D1380" s="146"/>
      <c r="E1380" s="138" t="s">
        <v>1338</v>
      </c>
      <c r="F1380" s="139">
        <f>1426.4+1132.6+1416.2</f>
        <v>3975.2</v>
      </c>
      <c r="G1380" s="127">
        <v>0.1</v>
      </c>
      <c r="H1380" s="140">
        <f t="shared" si="106"/>
        <v>4372.72</v>
      </c>
      <c r="I1380" s="129" t="s">
        <v>18</v>
      </c>
      <c r="J1380" s="134">
        <f t="shared" ref="J1380" si="108">J$1374</f>
        <v>0</v>
      </c>
      <c r="K1380" s="131">
        <f t="shared" si="107"/>
        <v>0</v>
      </c>
      <c r="L1380" s="132"/>
      <c r="M1380" s="153"/>
      <c r="N1380" s="147"/>
    </row>
    <row r="1381" spans="1:14" s="1" customFormat="1" x14ac:dyDescent="0.2">
      <c r="A1381" s="111" t="str">
        <f>IF(F1381&lt;&gt;"",1+MAX($A$7:A1380),"")</f>
        <v/>
      </c>
      <c r="B1381" s="2"/>
      <c r="C1381" s="2"/>
      <c r="D1381" s="41"/>
      <c r="E1381" s="196" t="s">
        <v>939</v>
      </c>
      <c r="F1381" s="31"/>
      <c r="G1381" s="25"/>
      <c r="H1381" s="4"/>
      <c r="I1381" s="26"/>
      <c r="J1381" s="75"/>
      <c r="K1381" s="65"/>
      <c r="L1381" s="58"/>
      <c r="M1381" s="151"/>
    </row>
    <row r="1382" spans="1:14" s="133" customFormat="1" ht="330.75" x14ac:dyDescent="0.2">
      <c r="A1382" s="111">
        <f>IF(F1382&lt;&gt;"",1+MAX($A$7:A1381),"")</f>
        <v>489</v>
      </c>
      <c r="B1382" s="2" t="s">
        <v>173</v>
      </c>
      <c r="C1382" s="123" t="s">
        <v>940</v>
      </c>
      <c r="D1382" s="124"/>
      <c r="E1382" s="456" t="s">
        <v>941</v>
      </c>
      <c r="F1382" s="126">
        <v>1</v>
      </c>
      <c r="G1382" s="127">
        <v>0</v>
      </c>
      <c r="H1382" s="128">
        <f t="shared" ref="H1382" si="109">F1382*(1+G1382)</f>
        <v>1</v>
      </c>
      <c r="I1382" s="129" t="s">
        <v>489</v>
      </c>
      <c r="J1382" s="457">
        <v>0</v>
      </c>
      <c r="K1382" s="131">
        <f t="shared" ref="K1382" si="110">J1382*H1382</f>
        <v>0</v>
      </c>
      <c r="L1382" s="132"/>
      <c r="M1382" s="153"/>
      <c r="N1382" s="145"/>
    </row>
    <row r="1383" spans="1:14" s="133" customFormat="1" ht="252" x14ac:dyDescent="0.2">
      <c r="A1383" s="111">
        <f>IF(F1383&lt;&gt;"",1+MAX($A$7:A1382),"")</f>
        <v>490</v>
      </c>
      <c r="B1383" s="2" t="s">
        <v>173</v>
      </c>
      <c r="C1383" s="123" t="s">
        <v>940</v>
      </c>
      <c r="D1383" s="124"/>
      <c r="E1383" s="456" t="s">
        <v>942</v>
      </c>
      <c r="F1383" s="126">
        <v>1</v>
      </c>
      <c r="G1383" s="127">
        <v>0</v>
      </c>
      <c r="H1383" s="128">
        <f t="shared" ref="H1383" si="111">F1383*(1+G1383)</f>
        <v>1</v>
      </c>
      <c r="I1383" s="129" t="s">
        <v>489</v>
      </c>
      <c r="J1383" s="457">
        <v>0</v>
      </c>
      <c r="K1383" s="131">
        <f t="shared" ref="K1383" si="112">J1383*H1383</f>
        <v>0</v>
      </c>
      <c r="L1383" s="132"/>
      <c r="M1383" s="153"/>
      <c r="N1383" s="145"/>
    </row>
    <row r="1384" spans="1:14" s="1" customFormat="1" ht="16.5" thickBot="1" x14ac:dyDescent="0.25">
      <c r="A1384" s="111" t="str">
        <f>IF(F1384&lt;&gt;"",1+MAX($A$7:A1383),"")</f>
        <v/>
      </c>
      <c r="B1384" s="45"/>
      <c r="C1384" s="2"/>
      <c r="D1384" s="41"/>
      <c r="F1384" s="46"/>
      <c r="G1384" s="47"/>
      <c r="H1384" s="46"/>
      <c r="I1384" s="48"/>
      <c r="J1384" s="74"/>
      <c r="K1384" s="66"/>
      <c r="L1384" s="58"/>
      <c r="M1384" s="151"/>
    </row>
    <row r="1385" spans="1:14" s="1" customFormat="1" ht="16.5" thickBot="1" x14ac:dyDescent="0.25">
      <c r="A1385" s="111" t="str">
        <f>IF(F1385&lt;&gt;"",1+MAX($A$7:A1384),"")</f>
        <v/>
      </c>
      <c r="B1385" s="2"/>
      <c r="C1385" s="2"/>
      <c r="D1385" s="41"/>
      <c r="E1385" s="55" t="s">
        <v>71</v>
      </c>
      <c r="F1385" s="31"/>
      <c r="G1385" s="25"/>
      <c r="H1385" s="4"/>
      <c r="I1385" s="26"/>
      <c r="J1385" s="75"/>
      <c r="K1385" s="69"/>
      <c r="L1385" s="59">
        <f>SUM(K1372:K1384)</f>
        <v>0</v>
      </c>
      <c r="M1385" s="151"/>
    </row>
    <row r="1386" spans="1:14" s="143" customFormat="1" ht="19.5" thickBot="1" x14ac:dyDescent="0.25">
      <c r="A1386" s="111" t="str">
        <f>IF(F1386&lt;&gt;"",1+MAX($A$7:A1385),"")</f>
        <v/>
      </c>
      <c r="B1386" s="122"/>
      <c r="C1386" s="123"/>
      <c r="D1386" s="146"/>
      <c r="E1386" s="138"/>
      <c r="F1386" s="139"/>
      <c r="G1386" s="127"/>
      <c r="H1386" s="140"/>
      <c r="I1386" s="141"/>
      <c r="J1386" s="134"/>
      <c r="K1386" s="142"/>
      <c r="L1386" s="132"/>
      <c r="M1386" s="154"/>
      <c r="N1386" s="147"/>
    </row>
    <row r="1387" spans="1:14" s="1" customFormat="1" ht="16.5" thickBot="1" x14ac:dyDescent="0.25">
      <c r="A1387" s="111" t="str">
        <f>IF(F1387&lt;&gt;"",1+MAX($A$7:A1386),"")</f>
        <v/>
      </c>
      <c r="B1387" s="32"/>
      <c r="C1387" s="219"/>
      <c r="D1387" s="220"/>
      <c r="E1387" s="221" t="s">
        <v>42</v>
      </c>
      <c r="F1387" s="222"/>
      <c r="G1387" s="232"/>
      <c r="H1387" s="224"/>
      <c r="I1387" s="225"/>
      <c r="J1387" s="226"/>
      <c r="K1387" s="227"/>
      <c r="L1387" s="21"/>
      <c r="M1387" s="151"/>
    </row>
    <row r="1388" spans="1:14" s="1" customFormat="1" x14ac:dyDescent="0.2">
      <c r="A1388" s="111" t="str">
        <f>IF(F1388&lt;&gt;"",1+MAX($A$7:A1387),"")</f>
        <v/>
      </c>
      <c r="B1388" s="2"/>
      <c r="C1388" s="2"/>
      <c r="D1388" s="41"/>
      <c r="E1388" s="196" t="s">
        <v>43</v>
      </c>
      <c r="F1388" s="31"/>
      <c r="G1388" s="25"/>
      <c r="H1388" s="4"/>
      <c r="I1388" s="26"/>
      <c r="J1388" s="75"/>
      <c r="K1388" s="65"/>
      <c r="L1388" s="58"/>
      <c r="M1388" s="151"/>
    </row>
    <row r="1389" spans="1:14" s="1" customFormat="1" x14ac:dyDescent="0.2">
      <c r="A1389" s="111">
        <f>IF(F1389&lt;&gt;"",1+MAX($A$7:A1388),"")</f>
        <v>491</v>
      </c>
      <c r="B1389" s="2" t="s">
        <v>112</v>
      </c>
      <c r="C1389" s="123"/>
      <c r="D1389" s="41"/>
      <c r="E1389" s="56" t="s">
        <v>106</v>
      </c>
      <c r="F1389" s="460">
        <f>270925+10117+2246-517</f>
        <v>282771</v>
      </c>
      <c r="G1389" s="127">
        <v>0.1</v>
      </c>
      <c r="H1389" s="197">
        <f t="shared" ref="H1389" si="113">F1389*(1+G1389)</f>
        <v>311048.10000000003</v>
      </c>
      <c r="I1389" s="40" t="s">
        <v>18</v>
      </c>
      <c r="J1389" s="130">
        <v>0</v>
      </c>
      <c r="K1389" s="198">
        <f t="shared" ref="K1389" si="114">J1389*H1389</f>
        <v>0</v>
      </c>
      <c r="L1389" s="58"/>
      <c r="M1389" s="151"/>
    </row>
    <row r="1390" spans="1:14" s="1" customFormat="1" x14ac:dyDescent="0.2">
      <c r="A1390" s="111">
        <f>IF(F1390&lt;&gt;"",1+MAX($A$7:A1389),"")</f>
        <v>492</v>
      </c>
      <c r="B1390" s="2" t="s">
        <v>112</v>
      </c>
      <c r="C1390" s="123"/>
      <c r="D1390" s="41"/>
      <c r="E1390" s="56" t="s">
        <v>960</v>
      </c>
      <c r="F1390" s="460">
        <f>1333.2*10+1317.3*9.9</f>
        <v>26373.27</v>
      </c>
      <c r="G1390" s="127">
        <v>0.1</v>
      </c>
      <c r="H1390" s="197">
        <f t="shared" ref="H1390" si="115">F1390*(1+G1390)</f>
        <v>29010.597000000002</v>
      </c>
      <c r="I1390" s="40" t="s">
        <v>18</v>
      </c>
      <c r="J1390" s="130">
        <v>0</v>
      </c>
      <c r="K1390" s="198">
        <f t="shared" ref="K1390" si="116">J1390*H1390</f>
        <v>0</v>
      </c>
      <c r="L1390" s="58"/>
      <c r="M1390" s="151"/>
    </row>
    <row r="1391" spans="1:14" s="1" customFormat="1" x14ac:dyDescent="0.2">
      <c r="A1391" s="111" t="str">
        <f>IF(F1391&lt;&gt;"",1+MAX($A$7:A1390),"")</f>
        <v/>
      </c>
      <c r="B1391" s="2"/>
      <c r="C1391" s="2"/>
      <c r="D1391" s="41"/>
      <c r="E1391" s="196" t="s">
        <v>44</v>
      </c>
      <c r="F1391" s="31"/>
      <c r="G1391" s="3"/>
      <c r="H1391" s="197"/>
      <c r="I1391" s="40"/>
      <c r="J1391" s="199"/>
      <c r="K1391" s="198"/>
      <c r="L1391" s="58"/>
      <c r="M1391" s="151"/>
    </row>
    <row r="1392" spans="1:14" s="1" customFormat="1" x14ac:dyDescent="0.2">
      <c r="A1392" s="111">
        <f>IF(F1392&lt;&gt;"",1+MAX($A$7:A1391),"")</f>
        <v>493</v>
      </c>
      <c r="B1392" s="2" t="s">
        <v>112</v>
      </c>
      <c r="C1392" s="123"/>
      <c r="D1392" s="41"/>
      <c r="E1392" s="56" t="s">
        <v>102</v>
      </c>
      <c r="F1392" s="139">
        <v>63937</v>
      </c>
      <c r="G1392" s="127">
        <v>0.1</v>
      </c>
      <c r="H1392" s="4">
        <f t="shared" ref="H1392" si="117">F1392*(1+G1392)</f>
        <v>70330.700000000012</v>
      </c>
      <c r="I1392" s="26" t="s">
        <v>18</v>
      </c>
      <c r="J1392" s="130">
        <v>0</v>
      </c>
      <c r="K1392" s="65">
        <f t="shared" ref="K1392" si="118">J1392*H1392</f>
        <v>0</v>
      </c>
      <c r="L1392" s="58"/>
      <c r="M1392" s="151"/>
    </row>
    <row r="1393" spans="1:14" s="1" customFormat="1" x14ac:dyDescent="0.2">
      <c r="A1393" s="111">
        <f>IF(F1393&lt;&gt;"",1+MAX($A$7:A1392),"")</f>
        <v>494</v>
      </c>
      <c r="B1393" s="2" t="s">
        <v>112</v>
      </c>
      <c r="C1393" s="123"/>
      <c r="D1393" s="41"/>
      <c r="E1393" s="56" t="s">
        <v>216</v>
      </c>
      <c r="F1393" s="139">
        <f>24201.4+10820.6+25</f>
        <v>35047</v>
      </c>
      <c r="G1393" s="127">
        <v>0.1</v>
      </c>
      <c r="H1393" s="4">
        <f t="shared" ref="H1393" si="119">F1393*(1+G1393)</f>
        <v>38551.700000000004</v>
      </c>
      <c r="I1393" s="26" t="s">
        <v>18</v>
      </c>
      <c r="J1393" s="130">
        <v>0</v>
      </c>
      <c r="K1393" s="65">
        <f t="shared" ref="K1393" si="120">J1393*H1393</f>
        <v>0</v>
      </c>
      <c r="L1393" s="58"/>
      <c r="M1393" s="151"/>
    </row>
    <row r="1394" spans="1:14" s="1" customFormat="1" x14ac:dyDescent="0.2">
      <c r="A1394" s="111" t="str">
        <f>IF(F1394&lt;&gt;"",1+MAX($A$7:A1393),"")</f>
        <v/>
      </c>
      <c r="B1394" s="2"/>
      <c r="C1394" s="2"/>
      <c r="D1394" s="41"/>
      <c r="E1394" s="196" t="s">
        <v>103</v>
      </c>
      <c r="F1394" s="31"/>
      <c r="G1394" s="3"/>
      <c r="H1394" s="197"/>
      <c r="I1394" s="40"/>
      <c r="J1394" s="199"/>
      <c r="K1394" s="198"/>
      <c r="L1394" s="58"/>
      <c r="M1394" s="151"/>
    </row>
    <row r="1395" spans="1:14" s="133" customFormat="1" ht="18.75" x14ac:dyDescent="0.2">
      <c r="A1395" s="111">
        <f>IF(F1395&lt;&gt;"",1+MAX($A$7:A1394),"")</f>
        <v>495</v>
      </c>
      <c r="B1395" s="2" t="s">
        <v>112</v>
      </c>
      <c r="C1395" s="123"/>
      <c r="D1395" s="124"/>
      <c r="E1395" s="56" t="s">
        <v>104</v>
      </c>
      <c r="F1395" s="139">
        <v>380</v>
      </c>
      <c r="G1395" s="127">
        <v>0</v>
      </c>
      <c r="H1395" s="128">
        <f>F1395*(1+G1395)</f>
        <v>380</v>
      </c>
      <c r="I1395" s="129" t="s">
        <v>20</v>
      </c>
      <c r="J1395" s="130">
        <v>0</v>
      </c>
      <c r="K1395" s="65">
        <f>J1395*H1395</f>
        <v>0</v>
      </c>
      <c r="L1395" s="132"/>
      <c r="M1395" s="153"/>
      <c r="N1395" s="145"/>
    </row>
    <row r="1396" spans="1:14" s="133" customFormat="1" ht="18.75" x14ac:dyDescent="0.2">
      <c r="A1396" s="111">
        <f>IF(F1396&lt;&gt;"",1+MAX($A$7:A1395),"")</f>
        <v>496</v>
      </c>
      <c r="B1396" s="2" t="s">
        <v>112</v>
      </c>
      <c r="C1396" s="123"/>
      <c r="D1396" s="124"/>
      <c r="E1396" s="56" t="s">
        <v>105</v>
      </c>
      <c r="F1396" s="139">
        <v>120</v>
      </c>
      <c r="G1396" s="127">
        <v>0</v>
      </c>
      <c r="H1396" s="128">
        <f>F1396*(1+G1396)</f>
        <v>120</v>
      </c>
      <c r="I1396" s="129" t="s">
        <v>20</v>
      </c>
      <c r="J1396" s="130">
        <v>0</v>
      </c>
      <c r="K1396" s="65">
        <f>J1396*H1396</f>
        <v>0</v>
      </c>
      <c r="L1396" s="132"/>
      <c r="M1396" s="153"/>
      <c r="N1396" s="145"/>
    </row>
    <row r="1397" spans="1:14" s="1" customFormat="1" ht="16.5" thickBot="1" x14ac:dyDescent="0.25">
      <c r="A1397" s="111" t="str">
        <f>IF(F1397&lt;&gt;"",1+MAX($A$7:A1396),"")</f>
        <v/>
      </c>
      <c r="B1397" s="2"/>
      <c r="C1397" s="32"/>
      <c r="D1397" s="41"/>
      <c r="F1397" s="46"/>
      <c r="G1397" s="47"/>
      <c r="H1397" s="46"/>
      <c r="I1397" s="48"/>
      <c r="J1397" s="74"/>
      <c r="K1397" s="66"/>
      <c r="L1397" s="58"/>
      <c r="M1397" s="151"/>
    </row>
    <row r="1398" spans="1:14" s="1" customFormat="1" ht="16.5" thickBot="1" x14ac:dyDescent="0.25">
      <c r="A1398" s="111" t="str">
        <f>IF(F1398&lt;&gt;"",1+MAX($A$7:A1397),"")</f>
        <v/>
      </c>
      <c r="B1398" s="2"/>
      <c r="C1398" s="2"/>
      <c r="D1398" s="41"/>
      <c r="E1398" s="55" t="s">
        <v>45</v>
      </c>
      <c r="F1398" s="31"/>
      <c r="G1398" s="25"/>
      <c r="H1398" s="4"/>
      <c r="I1398" s="26"/>
      <c r="J1398" s="75"/>
      <c r="K1398" s="69"/>
      <c r="L1398" s="59">
        <f>SUM(K1388:K1397)</f>
        <v>0</v>
      </c>
      <c r="M1398" s="151"/>
    </row>
    <row r="1399" spans="1:14" s="1" customFormat="1" ht="16.5" thickBot="1" x14ac:dyDescent="0.25">
      <c r="A1399" s="111" t="str">
        <f>IF(F1399&lt;&gt;"",1+MAX($A$7:A1398),"")</f>
        <v/>
      </c>
      <c r="B1399" s="2"/>
      <c r="C1399" s="2"/>
      <c r="D1399" s="41"/>
      <c r="E1399" s="56"/>
      <c r="F1399" s="31"/>
      <c r="G1399" s="25"/>
      <c r="H1399" s="4"/>
      <c r="I1399" s="26"/>
      <c r="J1399" s="75"/>
      <c r="K1399" s="69"/>
      <c r="L1399" s="58"/>
      <c r="M1399" s="151"/>
    </row>
    <row r="1400" spans="1:14" ht="16.5" thickBot="1" x14ac:dyDescent="0.25">
      <c r="A1400" s="111" t="str">
        <f>IF(F1400&lt;&gt;"",1+MAX($A$7:A1399),"")</f>
        <v/>
      </c>
      <c r="B1400" s="62"/>
      <c r="C1400" s="35"/>
      <c r="D1400" s="52" t="s">
        <v>23</v>
      </c>
      <c r="E1400" s="53" t="s">
        <v>24</v>
      </c>
      <c r="F1400" s="36"/>
      <c r="G1400" s="37"/>
      <c r="H1400" s="38"/>
      <c r="I1400" s="39"/>
      <c r="J1400" s="76"/>
      <c r="K1400" s="80"/>
      <c r="L1400" s="58"/>
      <c r="M1400" s="151"/>
    </row>
    <row r="1401" spans="1:14" ht="16.5" thickBot="1" x14ac:dyDescent="0.25">
      <c r="A1401" s="111" t="str">
        <f>IF(F1401&lt;&gt;"",1+MAX($A$7:A1400),"")</f>
        <v/>
      </c>
      <c r="B1401" s="42"/>
      <c r="C1401" s="44"/>
      <c r="D1401" s="57"/>
      <c r="E1401" s="54" t="s">
        <v>33</v>
      </c>
      <c r="F1401" s="78"/>
      <c r="G1401" s="43"/>
      <c r="H1401" s="43"/>
      <c r="I1401" s="43"/>
      <c r="J1401" s="73"/>
      <c r="K1401" s="68"/>
      <c r="L1401" s="58"/>
      <c r="M1401" s="8"/>
    </row>
    <row r="1402" spans="1:14" s="1" customFormat="1" x14ac:dyDescent="0.2">
      <c r="A1402" s="111">
        <f>IF(F1402&lt;&gt;"",1+MAX($A$7:A1401),"")</f>
        <v>497</v>
      </c>
      <c r="B1402" s="2" t="s">
        <v>442</v>
      </c>
      <c r="C1402" s="2" t="s">
        <v>443</v>
      </c>
      <c r="D1402" s="41"/>
      <c r="E1402" s="50" t="s">
        <v>69</v>
      </c>
      <c r="F1402" s="31">
        <f>6+9</f>
        <v>15</v>
      </c>
      <c r="G1402" s="3">
        <v>0</v>
      </c>
      <c r="H1402" s="4">
        <f t="shared" ref="H1402:H1413" si="121">F1402*(1+G1402)</f>
        <v>15</v>
      </c>
      <c r="I1402" s="26" t="s">
        <v>20</v>
      </c>
      <c r="J1402" s="130">
        <v>0</v>
      </c>
      <c r="K1402" s="65">
        <f t="shared" ref="K1402:K1413" si="122">J1402*H1402</f>
        <v>0</v>
      </c>
      <c r="L1402" s="81"/>
      <c r="M1402" s="151"/>
    </row>
    <row r="1403" spans="1:14" s="1" customFormat="1" x14ac:dyDescent="0.2">
      <c r="A1403" s="111">
        <f>IF(F1403&lt;&gt;"",1+MAX($A$7:A1402),"")</f>
        <v>498</v>
      </c>
      <c r="B1403" s="2" t="s">
        <v>442</v>
      </c>
      <c r="C1403" s="2" t="s">
        <v>443</v>
      </c>
      <c r="D1403" s="41"/>
      <c r="E1403" s="50" t="s">
        <v>444</v>
      </c>
      <c r="F1403" s="31">
        <v>11</v>
      </c>
      <c r="G1403" s="3">
        <v>0</v>
      </c>
      <c r="H1403" s="4">
        <f t="shared" si="121"/>
        <v>11</v>
      </c>
      <c r="I1403" s="26" t="s">
        <v>20</v>
      </c>
      <c r="J1403" s="130">
        <v>0</v>
      </c>
      <c r="K1403" s="65">
        <f t="shared" si="122"/>
        <v>0</v>
      </c>
      <c r="L1403" s="81"/>
      <c r="M1403" s="151"/>
    </row>
    <row r="1404" spans="1:14" s="1" customFormat="1" x14ac:dyDescent="0.2">
      <c r="A1404" s="111">
        <f>IF(F1404&lt;&gt;"",1+MAX($A$7:A1403),"")</f>
        <v>499</v>
      </c>
      <c r="B1404" s="2" t="s">
        <v>442</v>
      </c>
      <c r="C1404" s="2" t="s">
        <v>443</v>
      </c>
      <c r="D1404" s="41"/>
      <c r="E1404" s="50" t="s">
        <v>75</v>
      </c>
      <c r="F1404" s="31">
        <v>18</v>
      </c>
      <c r="G1404" s="3">
        <v>0</v>
      </c>
      <c r="H1404" s="4">
        <f t="shared" si="121"/>
        <v>18</v>
      </c>
      <c r="I1404" s="26" t="s">
        <v>20</v>
      </c>
      <c r="J1404" s="130">
        <v>0</v>
      </c>
      <c r="K1404" s="65">
        <f t="shared" si="122"/>
        <v>0</v>
      </c>
      <c r="L1404" s="81"/>
      <c r="M1404" s="151"/>
    </row>
    <row r="1405" spans="1:14" s="1" customFormat="1" x14ac:dyDescent="0.2">
      <c r="A1405" s="111">
        <f>IF(F1405&lt;&gt;"",1+MAX($A$7:A1404),"")</f>
        <v>500</v>
      </c>
      <c r="B1405" s="2" t="s">
        <v>442</v>
      </c>
      <c r="C1405" s="2" t="s">
        <v>443</v>
      </c>
      <c r="D1405" s="41"/>
      <c r="E1405" s="50" t="s">
        <v>445</v>
      </c>
      <c r="F1405" s="31">
        <v>83</v>
      </c>
      <c r="G1405" s="3">
        <v>0</v>
      </c>
      <c r="H1405" s="4">
        <f t="shared" si="121"/>
        <v>83</v>
      </c>
      <c r="I1405" s="26" t="s">
        <v>20</v>
      </c>
      <c r="J1405" s="130">
        <v>0</v>
      </c>
      <c r="K1405" s="65">
        <f t="shared" si="122"/>
        <v>0</v>
      </c>
      <c r="L1405" s="81"/>
      <c r="M1405" s="151"/>
    </row>
    <row r="1406" spans="1:14" s="1" customFormat="1" x14ac:dyDescent="0.2">
      <c r="A1406" s="111">
        <f>IF(F1406&lt;&gt;"",1+MAX($A$7:A1405),"")</f>
        <v>501</v>
      </c>
      <c r="B1406" s="2" t="s">
        <v>442</v>
      </c>
      <c r="C1406" s="2" t="s">
        <v>443</v>
      </c>
      <c r="D1406" s="41"/>
      <c r="E1406" s="50" t="s">
        <v>446</v>
      </c>
      <c r="F1406" s="31">
        <v>55</v>
      </c>
      <c r="G1406" s="3">
        <v>0</v>
      </c>
      <c r="H1406" s="4">
        <f t="shared" si="121"/>
        <v>55</v>
      </c>
      <c r="I1406" s="26" t="s">
        <v>20</v>
      </c>
      <c r="J1406" s="130">
        <v>0</v>
      </c>
      <c r="K1406" s="65">
        <f t="shared" si="122"/>
        <v>0</v>
      </c>
      <c r="L1406" s="81"/>
      <c r="M1406" s="151"/>
    </row>
    <row r="1407" spans="1:14" s="1" customFormat="1" ht="31.5" x14ac:dyDescent="0.2">
      <c r="A1407" s="111">
        <f>IF(F1407&lt;&gt;"",1+MAX($A$7:A1406),"")</f>
        <v>502</v>
      </c>
      <c r="B1407" s="2" t="s">
        <v>442</v>
      </c>
      <c r="C1407" s="2" t="s">
        <v>443</v>
      </c>
      <c r="D1407" s="41"/>
      <c r="E1407" s="50" t="s">
        <v>447</v>
      </c>
      <c r="F1407" s="31">
        <f>3+83</f>
        <v>86</v>
      </c>
      <c r="G1407" s="3">
        <v>0</v>
      </c>
      <c r="H1407" s="4">
        <f t="shared" si="121"/>
        <v>86</v>
      </c>
      <c r="I1407" s="26" t="s">
        <v>20</v>
      </c>
      <c r="J1407" s="130">
        <v>0</v>
      </c>
      <c r="K1407" s="65">
        <f t="shared" si="122"/>
        <v>0</v>
      </c>
      <c r="L1407" s="81"/>
      <c r="M1407" s="151"/>
    </row>
    <row r="1408" spans="1:14" s="1" customFormat="1" ht="31.5" x14ac:dyDescent="0.2">
      <c r="A1408" s="111">
        <f>IF(F1408&lt;&gt;"",1+MAX($A$7:A1407),"")</f>
        <v>503</v>
      </c>
      <c r="B1408" s="2" t="s">
        <v>442</v>
      </c>
      <c r="C1408" s="2" t="s">
        <v>443</v>
      </c>
      <c r="D1408" s="41"/>
      <c r="E1408" s="50" t="s">
        <v>448</v>
      </c>
      <c r="F1408" s="31">
        <v>83</v>
      </c>
      <c r="G1408" s="3">
        <v>0</v>
      </c>
      <c r="H1408" s="4">
        <f t="shared" si="121"/>
        <v>83</v>
      </c>
      <c r="I1408" s="26" t="s">
        <v>20</v>
      </c>
      <c r="J1408" s="130">
        <v>0</v>
      </c>
      <c r="K1408" s="65">
        <f t="shared" si="122"/>
        <v>0</v>
      </c>
      <c r="L1408" s="81"/>
      <c r="M1408" s="151"/>
    </row>
    <row r="1409" spans="1:13" s="1" customFormat="1" x14ac:dyDescent="0.2">
      <c r="A1409" s="111">
        <f>IF(F1409&lt;&gt;"",1+MAX($A$7:A1408),"")</f>
        <v>504</v>
      </c>
      <c r="B1409" s="2" t="s">
        <v>442</v>
      </c>
      <c r="C1409" s="2" t="s">
        <v>443</v>
      </c>
      <c r="D1409" s="41"/>
      <c r="E1409" s="50" t="s">
        <v>41</v>
      </c>
      <c r="F1409" s="31">
        <f>3+83</f>
        <v>86</v>
      </c>
      <c r="G1409" s="3">
        <v>0</v>
      </c>
      <c r="H1409" s="4">
        <f t="shared" si="121"/>
        <v>86</v>
      </c>
      <c r="I1409" s="26" t="s">
        <v>20</v>
      </c>
      <c r="J1409" s="130">
        <v>0</v>
      </c>
      <c r="K1409" s="65">
        <f t="shared" si="122"/>
        <v>0</v>
      </c>
      <c r="L1409" s="81"/>
      <c r="M1409" s="151"/>
    </row>
    <row r="1410" spans="1:13" s="1" customFormat="1" x14ac:dyDescent="0.2">
      <c r="A1410" s="111">
        <f>IF(F1410&lt;&gt;"",1+MAX($A$7:A1409),"")</f>
        <v>505</v>
      </c>
      <c r="B1410" s="2" t="s">
        <v>442</v>
      </c>
      <c r="C1410" s="2" t="s">
        <v>443</v>
      </c>
      <c r="D1410" s="41"/>
      <c r="E1410" s="50" t="s">
        <v>68</v>
      </c>
      <c r="F1410" s="31">
        <f>3+83</f>
        <v>86</v>
      </c>
      <c r="G1410" s="3">
        <v>0</v>
      </c>
      <c r="H1410" s="4">
        <f t="shared" si="121"/>
        <v>86</v>
      </c>
      <c r="I1410" s="26" t="s">
        <v>20</v>
      </c>
      <c r="J1410" s="130">
        <v>0</v>
      </c>
      <c r="K1410" s="65">
        <f t="shared" si="122"/>
        <v>0</v>
      </c>
      <c r="L1410" s="81"/>
      <c r="M1410" s="151"/>
    </row>
    <row r="1411" spans="1:13" s="1" customFormat="1" x14ac:dyDescent="0.2">
      <c r="A1411" s="111">
        <f>IF(F1411&lt;&gt;"",1+MAX($A$7:A1410),"")</f>
        <v>506</v>
      </c>
      <c r="B1411" s="2" t="s">
        <v>442</v>
      </c>
      <c r="C1411" s="2" t="s">
        <v>443</v>
      </c>
      <c r="D1411" s="41"/>
      <c r="E1411" s="50" t="s">
        <v>449</v>
      </c>
      <c r="F1411" s="31">
        <f>3+83</f>
        <v>86</v>
      </c>
      <c r="G1411" s="3">
        <v>0</v>
      </c>
      <c r="H1411" s="4">
        <f t="shared" si="121"/>
        <v>86</v>
      </c>
      <c r="I1411" s="26" t="s">
        <v>20</v>
      </c>
      <c r="J1411" s="130">
        <v>0</v>
      </c>
      <c r="K1411" s="65">
        <f t="shared" si="122"/>
        <v>0</v>
      </c>
      <c r="L1411" s="81"/>
      <c r="M1411" s="151"/>
    </row>
    <row r="1412" spans="1:13" s="1" customFormat="1" x14ac:dyDescent="0.2">
      <c r="A1412" s="111">
        <f>IF(F1412&lt;&gt;"",1+MAX($A$7:A1411),"")</f>
        <v>507</v>
      </c>
      <c r="B1412" s="2" t="s">
        <v>442</v>
      </c>
      <c r="C1412" s="2" t="s">
        <v>443</v>
      </c>
      <c r="D1412" s="41"/>
      <c r="E1412" s="50" t="s">
        <v>450</v>
      </c>
      <c r="F1412" s="31">
        <v>3</v>
      </c>
      <c r="G1412" s="3">
        <v>0</v>
      </c>
      <c r="H1412" s="4">
        <f t="shared" si="121"/>
        <v>3</v>
      </c>
      <c r="I1412" s="26" t="s">
        <v>20</v>
      </c>
      <c r="J1412" s="130">
        <v>0</v>
      </c>
      <c r="K1412" s="65">
        <f t="shared" si="122"/>
        <v>0</v>
      </c>
      <c r="L1412" s="81"/>
      <c r="M1412" s="151"/>
    </row>
    <row r="1413" spans="1:13" s="1" customFormat="1" x14ac:dyDescent="0.2">
      <c r="A1413" s="111">
        <f>IF(F1413&lt;&gt;"",1+MAX($A$7:A1412),"")</f>
        <v>508</v>
      </c>
      <c r="B1413" s="2" t="s">
        <v>442</v>
      </c>
      <c r="C1413" s="2" t="s">
        <v>443</v>
      </c>
      <c r="D1413" s="41"/>
      <c r="E1413" s="50" t="s">
        <v>451</v>
      </c>
      <c r="F1413" s="31">
        <v>41</v>
      </c>
      <c r="G1413" s="3">
        <v>0</v>
      </c>
      <c r="H1413" s="4">
        <f t="shared" si="121"/>
        <v>41</v>
      </c>
      <c r="I1413" s="26" t="s">
        <v>20</v>
      </c>
      <c r="J1413" s="130">
        <v>0</v>
      </c>
      <c r="K1413" s="65">
        <f t="shared" si="122"/>
        <v>0</v>
      </c>
      <c r="L1413" s="81"/>
      <c r="M1413" s="151"/>
    </row>
    <row r="1414" spans="1:13" s="1" customFormat="1" ht="16.5" thickBot="1" x14ac:dyDescent="0.25">
      <c r="A1414" s="111" t="str">
        <f>IF(F1414&lt;&gt;"",1+MAX($A$7:A1413),"")</f>
        <v/>
      </c>
      <c r="B1414" s="2"/>
      <c r="C1414" s="2"/>
      <c r="D1414" s="41"/>
      <c r="E1414" s="55"/>
      <c r="F1414" s="46"/>
      <c r="G1414" s="47"/>
      <c r="H1414" s="46"/>
      <c r="I1414" s="48"/>
      <c r="J1414" s="74"/>
      <c r="K1414" s="66"/>
      <c r="L1414" s="58"/>
    </row>
    <row r="1415" spans="1:13" s="1" customFormat="1" ht="16.5" thickBot="1" x14ac:dyDescent="0.25">
      <c r="A1415" s="111" t="str">
        <f>IF(F1415&lt;&gt;"",1+MAX($A$7:A1414),"")</f>
        <v/>
      </c>
      <c r="B1415" s="2"/>
      <c r="C1415" s="2"/>
      <c r="D1415" s="41"/>
      <c r="E1415" s="55" t="s">
        <v>34</v>
      </c>
      <c r="F1415" s="31"/>
      <c r="G1415" s="25"/>
      <c r="H1415" s="4"/>
      <c r="I1415" s="26"/>
      <c r="J1415" s="75"/>
      <c r="K1415" s="69"/>
      <c r="L1415" s="59">
        <f>SUM(K1401:K1414)</f>
        <v>0</v>
      </c>
    </row>
    <row r="1416" spans="1:13" s="1" customFormat="1" ht="16.5" thickBot="1" x14ac:dyDescent="0.25">
      <c r="A1416" s="111" t="str">
        <f>IF(F1416&lt;&gt;"",1+MAX($A$7:A1415),"")</f>
        <v/>
      </c>
      <c r="B1416" s="2"/>
      <c r="C1416" s="2"/>
      <c r="D1416" s="60"/>
      <c r="E1416" s="55"/>
      <c r="F1416" s="31"/>
      <c r="G1416" s="3"/>
      <c r="H1416" s="4"/>
      <c r="I1416" s="26"/>
      <c r="J1416" s="75"/>
      <c r="K1416" s="69"/>
      <c r="L1416" s="58"/>
    </row>
    <row r="1417" spans="1:13" ht="16.5" thickBot="1" x14ac:dyDescent="0.25">
      <c r="A1417" s="111" t="str">
        <f>IF(F1417&lt;&gt;"",1+MAX($A$7:A1416),"")</f>
        <v/>
      </c>
      <c r="B1417" s="42"/>
      <c r="C1417" s="44"/>
      <c r="D1417" s="57"/>
      <c r="E1417" s="54" t="s">
        <v>452</v>
      </c>
      <c r="F1417" s="78"/>
      <c r="G1417" s="43"/>
      <c r="H1417" s="43"/>
      <c r="I1417" s="43"/>
      <c r="J1417" s="73"/>
      <c r="K1417" s="68"/>
      <c r="L1417" s="58"/>
      <c r="M1417" s="8"/>
    </row>
    <row r="1418" spans="1:13" s="1" customFormat="1" ht="31.5" x14ac:dyDescent="0.2">
      <c r="A1418" s="111">
        <f>IF(F1418&lt;&gt;"",1+MAX($A$7:A1417),"")</f>
        <v>509</v>
      </c>
      <c r="B1418" s="2" t="s">
        <v>453</v>
      </c>
      <c r="C1418" s="2" t="s">
        <v>443</v>
      </c>
      <c r="D1418" s="41"/>
      <c r="E1418" s="50" t="s">
        <v>454</v>
      </c>
      <c r="F1418" s="31">
        <v>4</v>
      </c>
      <c r="G1418" s="3">
        <v>0</v>
      </c>
      <c r="H1418" s="4">
        <f t="shared" ref="H1418" si="123">F1418*(1+G1418)</f>
        <v>4</v>
      </c>
      <c r="I1418" s="26" t="s">
        <v>20</v>
      </c>
      <c r="J1418" s="130">
        <v>0</v>
      </c>
      <c r="K1418" s="65">
        <f t="shared" ref="K1418" si="124">J1418*H1418</f>
        <v>0</v>
      </c>
      <c r="L1418" s="81"/>
      <c r="M1418" s="151"/>
    </row>
    <row r="1419" spans="1:13" s="1" customFormat="1" ht="16.5" thickBot="1" x14ac:dyDescent="0.25">
      <c r="A1419" s="111" t="str">
        <f>IF(F1419&lt;&gt;"",1+MAX($A$7:A1418),"")</f>
        <v/>
      </c>
      <c r="B1419" s="2"/>
      <c r="C1419" s="2"/>
      <c r="D1419" s="330"/>
      <c r="E1419" s="55"/>
      <c r="F1419" s="46"/>
      <c r="G1419" s="47"/>
      <c r="H1419" s="46"/>
      <c r="I1419" s="48"/>
      <c r="J1419" s="74"/>
      <c r="K1419" s="66"/>
      <c r="L1419" s="58"/>
    </row>
    <row r="1420" spans="1:13" s="1" customFormat="1" ht="16.5" thickBot="1" x14ac:dyDescent="0.25">
      <c r="A1420" s="111" t="str">
        <f>IF(F1420&lt;&gt;"",1+MAX($A$7:A1419),"")</f>
        <v/>
      </c>
      <c r="B1420" s="2"/>
      <c r="C1420" s="2"/>
      <c r="D1420" s="41"/>
      <c r="E1420" s="55" t="s">
        <v>455</v>
      </c>
      <c r="F1420" s="31"/>
      <c r="G1420" s="25"/>
      <c r="H1420" s="4"/>
      <c r="I1420" s="26"/>
      <c r="J1420" s="75"/>
      <c r="K1420" s="69"/>
      <c r="L1420" s="59">
        <f>SUM(K1417:K1419)</f>
        <v>0</v>
      </c>
    </row>
    <row r="1421" spans="1:13" s="1" customFormat="1" ht="16.5" thickBot="1" x14ac:dyDescent="0.25">
      <c r="A1421" s="111" t="str">
        <f>IF(F1421&lt;&gt;"",1+MAX($A$7:A1420),"")</f>
        <v/>
      </c>
      <c r="B1421" s="2"/>
      <c r="C1421" s="2"/>
      <c r="D1421" s="60"/>
      <c r="E1421" s="55"/>
      <c r="F1421" s="31"/>
      <c r="G1421" s="3"/>
      <c r="H1421" s="4"/>
      <c r="I1421" s="26"/>
      <c r="J1421" s="75"/>
      <c r="K1421" s="69"/>
      <c r="L1421" s="58"/>
    </row>
    <row r="1422" spans="1:13" ht="16.5" thickBot="1" x14ac:dyDescent="0.25">
      <c r="A1422" s="111" t="str">
        <f>IF(F1422&lt;&gt;"",1+MAX($A$7:A1421),"")</f>
        <v/>
      </c>
      <c r="B1422" s="42"/>
      <c r="C1422" s="44"/>
      <c r="D1422" s="57"/>
      <c r="E1422" s="54" t="s">
        <v>456</v>
      </c>
      <c r="F1422" s="334"/>
      <c r="G1422" s="43"/>
      <c r="H1422" s="43"/>
      <c r="I1422" s="43"/>
      <c r="J1422" s="73"/>
      <c r="K1422" s="68"/>
      <c r="L1422" s="58"/>
      <c r="M1422" s="8"/>
    </row>
    <row r="1423" spans="1:13" s="1" customFormat="1" x14ac:dyDescent="0.2">
      <c r="A1423" s="111">
        <f>IF(F1423&lt;&gt;"",1+MAX($A$7:A1422),"")</f>
        <v>510</v>
      </c>
      <c r="B1423" s="2" t="s">
        <v>430</v>
      </c>
      <c r="C1423" s="2" t="s">
        <v>443</v>
      </c>
      <c r="D1423" s="41"/>
      <c r="E1423" s="50" t="s">
        <v>457</v>
      </c>
      <c r="F1423" s="31">
        <v>21</v>
      </c>
      <c r="G1423" s="3">
        <v>0</v>
      </c>
      <c r="H1423" s="4">
        <f t="shared" ref="H1423" si="125">F1423*(1+G1423)</f>
        <v>21</v>
      </c>
      <c r="I1423" s="26" t="s">
        <v>20</v>
      </c>
      <c r="J1423" s="130">
        <v>0</v>
      </c>
      <c r="K1423" s="65">
        <f t="shared" ref="K1423" si="126">J1423*H1423</f>
        <v>0</v>
      </c>
      <c r="L1423" s="81"/>
      <c r="M1423" s="151"/>
    </row>
    <row r="1424" spans="1:13" s="1" customFormat="1" ht="16.5" thickBot="1" x14ac:dyDescent="0.25">
      <c r="A1424" s="111" t="str">
        <f>IF(F1424&lt;&gt;"",1+MAX($A$7:A1423),"")</f>
        <v/>
      </c>
      <c r="B1424" s="2"/>
      <c r="C1424" s="2"/>
      <c r="D1424" s="330"/>
      <c r="E1424" s="55"/>
      <c r="F1424" s="46"/>
      <c r="G1424" s="47"/>
      <c r="H1424" s="46"/>
      <c r="I1424" s="48"/>
      <c r="J1424" s="74"/>
      <c r="K1424" s="66"/>
      <c r="L1424" s="58"/>
    </row>
    <row r="1425" spans="1:13" s="1" customFormat="1" ht="16.5" thickBot="1" x14ac:dyDescent="0.25">
      <c r="A1425" s="111" t="str">
        <f>IF(F1425&lt;&gt;"",1+MAX($A$7:A1424),"")</f>
        <v/>
      </c>
      <c r="B1425" s="2"/>
      <c r="C1425" s="2"/>
      <c r="D1425" s="41"/>
      <c r="E1425" s="55" t="s">
        <v>458</v>
      </c>
      <c r="F1425" s="31"/>
      <c r="G1425" s="25"/>
      <c r="H1425" s="4"/>
      <c r="I1425" s="26"/>
      <c r="J1425" s="75"/>
      <c r="K1425" s="69"/>
      <c r="L1425" s="59">
        <f>SUM(K1422:K1424)</f>
        <v>0</v>
      </c>
    </row>
    <row r="1426" spans="1:13" s="1" customFormat="1" ht="16.5" thickBot="1" x14ac:dyDescent="0.25">
      <c r="A1426" s="111" t="str">
        <f>IF(F1426&lt;&gt;"",1+MAX($A$7:A1425),"")</f>
        <v/>
      </c>
      <c r="B1426" s="2"/>
      <c r="C1426" s="2"/>
      <c r="D1426" s="60"/>
      <c r="E1426" s="55"/>
      <c r="F1426" s="31"/>
      <c r="G1426" s="3"/>
      <c r="H1426" s="4"/>
      <c r="I1426" s="26"/>
      <c r="J1426" s="75"/>
      <c r="K1426" s="69"/>
      <c r="L1426" s="58"/>
    </row>
    <row r="1427" spans="1:13" ht="16.5" thickBot="1" x14ac:dyDescent="0.25">
      <c r="A1427" s="111" t="str">
        <f>IF(F1427&lt;&gt;"",1+MAX($A$7:A1426),"")</f>
        <v/>
      </c>
      <c r="B1427" s="42"/>
      <c r="C1427" s="44"/>
      <c r="D1427" s="57"/>
      <c r="E1427" s="54" t="s">
        <v>975</v>
      </c>
      <c r="F1427" s="334"/>
      <c r="G1427" s="43"/>
      <c r="H1427" s="43"/>
      <c r="I1427" s="43"/>
      <c r="J1427" s="73"/>
      <c r="K1427" s="68"/>
      <c r="L1427" s="58"/>
      <c r="M1427" s="8"/>
    </row>
    <row r="1428" spans="1:13" s="1" customFormat="1" ht="31.5" x14ac:dyDescent="0.2">
      <c r="A1428" s="111">
        <f>IF(F1428&lt;&gt;"",1+MAX($A$7:A1427),"")</f>
        <v>511</v>
      </c>
      <c r="B1428" s="2" t="s">
        <v>112</v>
      </c>
      <c r="C1428" s="2" t="s">
        <v>982</v>
      </c>
      <c r="D1428" s="41"/>
      <c r="E1428" s="50" t="s">
        <v>985</v>
      </c>
      <c r="F1428" s="31">
        <v>7</v>
      </c>
      <c r="G1428" s="3">
        <v>0</v>
      </c>
      <c r="H1428" s="4">
        <f t="shared" ref="H1428" si="127">F1428*(1+G1428)</f>
        <v>7</v>
      </c>
      <c r="I1428" s="26" t="s">
        <v>20</v>
      </c>
      <c r="J1428" s="130">
        <v>0</v>
      </c>
      <c r="K1428" s="65">
        <f t="shared" ref="K1428" si="128">J1428*H1428</f>
        <v>0</v>
      </c>
      <c r="L1428" s="81"/>
      <c r="M1428" s="151"/>
    </row>
    <row r="1429" spans="1:13" s="1" customFormat="1" ht="31.5" x14ac:dyDescent="0.2">
      <c r="A1429" s="111">
        <f>IF(F1429&lt;&gt;"",1+MAX($A$7:A1428),"")</f>
        <v>512</v>
      </c>
      <c r="B1429" s="2" t="s">
        <v>112</v>
      </c>
      <c r="C1429" s="2" t="s">
        <v>984</v>
      </c>
      <c r="D1429" s="41"/>
      <c r="E1429" s="50" t="s">
        <v>983</v>
      </c>
      <c r="F1429" s="31">
        <v>11</v>
      </c>
      <c r="G1429" s="3">
        <v>0</v>
      </c>
      <c r="H1429" s="4">
        <f t="shared" ref="H1429" si="129">F1429*(1+G1429)</f>
        <v>11</v>
      </c>
      <c r="I1429" s="26" t="s">
        <v>20</v>
      </c>
      <c r="J1429" s="130">
        <v>0</v>
      </c>
      <c r="K1429" s="65">
        <f t="shared" ref="K1429" si="130">J1429*H1429</f>
        <v>0</v>
      </c>
      <c r="L1429" s="81"/>
      <c r="M1429" s="151"/>
    </row>
    <row r="1430" spans="1:13" s="1" customFormat="1" ht="31.5" x14ac:dyDescent="0.2">
      <c r="A1430" s="111">
        <f>IF(F1430&lt;&gt;"",1+MAX($A$7:A1429),"")</f>
        <v>513</v>
      </c>
      <c r="B1430" s="2" t="s">
        <v>112</v>
      </c>
      <c r="C1430" s="2" t="s">
        <v>980</v>
      </c>
      <c r="D1430" s="41"/>
      <c r="E1430" s="50" t="s">
        <v>981</v>
      </c>
      <c r="F1430" s="31">
        <v>5</v>
      </c>
      <c r="G1430" s="3">
        <v>0</v>
      </c>
      <c r="H1430" s="4">
        <f t="shared" ref="H1430:H1434" si="131">F1430*(1+G1430)</f>
        <v>5</v>
      </c>
      <c r="I1430" s="26" t="s">
        <v>20</v>
      </c>
      <c r="J1430" s="130">
        <v>0</v>
      </c>
      <c r="K1430" s="65">
        <f t="shared" ref="K1430:K1434" si="132">J1430*H1430</f>
        <v>0</v>
      </c>
      <c r="L1430" s="81"/>
      <c r="M1430" s="151"/>
    </row>
    <row r="1431" spans="1:13" s="1" customFormat="1" ht="47.25" x14ac:dyDescent="0.2">
      <c r="A1431" s="111">
        <f>IF(F1431&lt;&gt;"",1+MAX($A$7:A1430),"")</f>
        <v>514</v>
      </c>
      <c r="B1431" s="2" t="s">
        <v>112</v>
      </c>
      <c r="C1431" s="2" t="s">
        <v>978</v>
      </c>
      <c r="D1431" s="41"/>
      <c r="E1431" s="50" t="s">
        <v>977</v>
      </c>
      <c r="F1431" s="31">
        <v>3</v>
      </c>
      <c r="G1431" s="3">
        <v>0</v>
      </c>
      <c r="H1431" s="4">
        <f t="shared" si="131"/>
        <v>3</v>
      </c>
      <c r="I1431" s="26" t="s">
        <v>20</v>
      </c>
      <c r="J1431" s="130">
        <v>0</v>
      </c>
      <c r="K1431" s="65">
        <f t="shared" si="132"/>
        <v>0</v>
      </c>
      <c r="L1431" s="81"/>
      <c r="M1431" s="151"/>
    </row>
    <row r="1432" spans="1:13" s="1" customFormat="1" ht="47.25" x14ac:dyDescent="0.2">
      <c r="A1432" s="111">
        <f>IF(F1432&lt;&gt;"",1+MAX($A$7:A1431),"")</f>
        <v>515</v>
      </c>
      <c r="B1432" s="2" t="s">
        <v>112</v>
      </c>
      <c r="C1432" s="2" t="s">
        <v>978</v>
      </c>
      <c r="D1432" s="41"/>
      <c r="E1432" s="50" t="s">
        <v>979</v>
      </c>
      <c r="F1432" s="31">
        <v>3</v>
      </c>
      <c r="G1432" s="3">
        <v>0</v>
      </c>
      <c r="H1432" s="4">
        <f t="shared" si="131"/>
        <v>3</v>
      </c>
      <c r="I1432" s="26" t="s">
        <v>20</v>
      </c>
      <c r="J1432" s="130">
        <v>0</v>
      </c>
      <c r="K1432" s="65">
        <f t="shared" si="132"/>
        <v>0</v>
      </c>
      <c r="L1432" s="81"/>
      <c r="M1432" s="151"/>
    </row>
    <row r="1433" spans="1:13" s="1" customFormat="1" ht="47.25" x14ac:dyDescent="0.2">
      <c r="A1433" s="111">
        <f>IF(F1433&lt;&gt;"",1+MAX($A$7:A1432),"")</f>
        <v>516</v>
      </c>
      <c r="B1433" s="2" t="s">
        <v>112</v>
      </c>
      <c r="C1433" s="2" t="s">
        <v>987</v>
      </c>
      <c r="D1433" s="41"/>
      <c r="E1433" s="50" t="s">
        <v>986</v>
      </c>
      <c r="F1433" s="31">
        <v>1</v>
      </c>
      <c r="G1433" s="3">
        <v>0</v>
      </c>
      <c r="H1433" s="4">
        <f t="shared" ref="H1433" si="133">F1433*(1+G1433)</f>
        <v>1</v>
      </c>
      <c r="I1433" s="26" t="s">
        <v>20</v>
      </c>
      <c r="J1433" s="130">
        <v>0</v>
      </c>
      <c r="K1433" s="65">
        <f t="shared" ref="K1433" si="134">J1433*H1433</f>
        <v>0</v>
      </c>
      <c r="L1433" s="81"/>
      <c r="M1433" s="151"/>
    </row>
    <row r="1434" spans="1:13" s="1" customFormat="1" ht="47.25" x14ac:dyDescent="0.2">
      <c r="A1434" s="111">
        <f>IF(F1434&lt;&gt;"",1+MAX($A$7:A1433),"")</f>
        <v>517</v>
      </c>
      <c r="B1434" s="2" t="s">
        <v>112</v>
      </c>
      <c r="C1434" s="2" t="s">
        <v>991</v>
      </c>
      <c r="D1434" s="41"/>
      <c r="E1434" s="50" t="s">
        <v>990</v>
      </c>
      <c r="F1434" s="31">
        <f>63</f>
        <v>63</v>
      </c>
      <c r="G1434" s="3">
        <v>0</v>
      </c>
      <c r="H1434" s="4">
        <f t="shared" si="131"/>
        <v>63</v>
      </c>
      <c r="I1434" s="26" t="s">
        <v>20</v>
      </c>
      <c r="J1434" s="130">
        <v>0</v>
      </c>
      <c r="K1434" s="65">
        <f t="shared" si="132"/>
        <v>0</v>
      </c>
      <c r="L1434" s="81"/>
      <c r="M1434" s="151"/>
    </row>
    <row r="1435" spans="1:13" s="1" customFormat="1" ht="47.25" x14ac:dyDescent="0.2">
      <c r="A1435" s="111">
        <f>IF(F1435&lt;&gt;"",1+MAX($A$7:A1434),"")</f>
        <v>518</v>
      </c>
      <c r="B1435" s="2" t="s">
        <v>112</v>
      </c>
      <c r="C1435" s="2" t="s">
        <v>988</v>
      </c>
      <c r="D1435" s="41"/>
      <c r="E1435" s="50" t="s">
        <v>989</v>
      </c>
      <c r="F1435" s="31">
        <v>8</v>
      </c>
      <c r="G1435" s="3">
        <v>0</v>
      </c>
      <c r="H1435" s="4">
        <f t="shared" ref="H1435" si="135">F1435*(1+G1435)</f>
        <v>8</v>
      </c>
      <c r="I1435" s="26" t="s">
        <v>20</v>
      </c>
      <c r="J1435" s="130">
        <v>0</v>
      </c>
      <c r="K1435" s="65">
        <f t="shared" ref="K1435" si="136">J1435*H1435</f>
        <v>0</v>
      </c>
      <c r="L1435" s="81"/>
      <c r="M1435" s="151"/>
    </row>
    <row r="1436" spans="1:13" s="1" customFormat="1" ht="16.5" thickBot="1" x14ac:dyDescent="0.25">
      <c r="A1436" s="111" t="str">
        <f>IF(F1436&lt;&gt;"",1+MAX($A$7:A1435),"")</f>
        <v/>
      </c>
      <c r="B1436" s="2"/>
      <c r="C1436" s="2"/>
      <c r="D1436" s="330"/>
      <c r="E1436" s="55"/>
      <c r="F1436" s="46"/>
      <c r="G1436" s="47"/>
      <c r="H1436" s="46"/>
      <c r="I1436" s="48"/>
      <c r="J1436" s="74"/>
      <c r="K1436" s="66"/>
      <c r="L1436" s="58"/>
    </row>
    <row r="1437" spans="1:13" s="1" customFormat="1" ht="16.5" thickBot="1" x14ac:dyDescent="0.25">
      <c r="A1437" s="111" t="str">
        <f>IF(F1437&lt;&gt;"",1+MAX($A$7:A1436),"")</f>
        <v/>
      </c>
      <c r="B1437" s="2"/>
      <c r="C1437" s="2"/>
      <c r="D1437" s="41"/>
      <c r="E1437" s="55" t="s">
        <v>976</v>
      </c>
      <c r="F1437" s="31"/>
      <c r="G1437" s="25"/>
      <c r="H1437" s="4"/>
      <c r="I1437" s="26"/>
      <c r="J1437" s="75"/>
      <c r="K1437" s="69"/>
      <c r="L1437" s="59">
        <f>SUM(K1427:K1436)</f>
        <v>0</v>
      </c>
    </row>
    <row r="1438" spans="1:13" s="1" customFormat="1" ht="16.5" thickBot="1" x14ac:dyDescent="0.25">
      <c r="A1438" s="111" t="str">
        <f>IF(F1438&lt;&gt;"",1+MAX($A$7:A1437),"")</f>
        <v/>
      </c>
      <c r="B1438" s="2"/>
      <c r="C1438" s="2"/>
      <c r="D1438" s="60"/>
      <c r="E1438" s="55"/>
      <c r="F1438" s="31"/>
      <c r="G1438" s="3"/>
      <c r="H1438" s="4"/>
      <c r="I1438" s="26"/>
      <c r="J1438" s="75"/>
      <c r="K1438" s="69"/>
      <c r="L1438" s="58"/>
    </row>
    <row r="1439" spans="1:13" ht="16.5" thickBot="1" x14ac:dyDescent="0.25">
      <c r="A1439" s="111" t="str">
        <f>IF(F1439&lt;&gt;"",1+MAX($A$7:A1438),"")</f>
        <v/>
      </c>
      <c r="B1439" s="42"/>
      <c r="C1439" s="44"/>
      <c r="D1439" s="57"/>
      <c r="E1439" s="54" t="s">
        <v>943</v>
      </c>
      <c r="F1439" s="334"/>
      <c r="G1439" s="43"/>
      <c r="H1439" s="43"/>
      <c r="I1439" s="43"/>
      <c r="J1439" s="73"/>
      <c r="K1439" s="68"/>
      <c r="L1439" s="58"/>
      <c r="M1439" s="8"/>
    </row>
    <row r="1440" spans="1:13" s="1" customFormat="1" ht="47.25" x14ac:dyDescent="0.2">
      <c r="A1440" s="111">
        <f>IF(F1440&lt;&gt;"",1+MAX($A$7:A1439),"")</f>
        <v>519</v>
      </c>
      <c r="B1440" s="2" t="s">
        <v>173</v>
      </c>
      <c r="C1440" s="2" t="s">
        <v>945</v>
      </c>
      <c r="D1440" s="41"/>
      <c r="E1440" s="50" t="s">
        <v>944</v>
      </c>
      <c r="F1440" s="31">
        <v>1</v>
      </c>
      <c r="G1440" s="3">
        <v>0</v>
      </c>
      <c r="H1440" s="4">
        <f t="shared" ref="H1440" si="137">F1440*(1+G1440)</f>
        <v>1</v>
      </c>
      <c r="I1440" s="26" t="s">
        <v>20</v>
      </c>
      <c r="J1440" s="130">
        <v>0</v>
      </c>
      <c r="K1440" s="65">
        <f t="shared" ref="K1440" si="138">J1440*H1440</f>
        <v>0</v>
      </c>
      <c r="L1440" s="81"/>
      <c r="M1440" s="151"/>
    </row>
    <row r="1441" spans="1:13" s="1" customFormat="1" ht="16.5" thickBot="1" x14ac:dyDescent="0.25">
      <c r="A1441" s="111" t="str">
        <f>IF(F1441&lt;&gt;"",1+MAX($A$7:A1440),"")</f>
        <v/>
      </c>
      <c r="B1441" s="2"/>
      <c r="C1441" s="2"/>
      <c r="D1441" s="330"/>
      <c r="E1441" s="55"/>
      <c r="F1441" s="46"/>
      <c r="G1441" s="47"/>
      <c r="H1441" s="46"/>
      <c r="I1441" s="48"/>
      <c r="J1441" s="74"/>
      <c r="K1441" s="66"/>
      <c r="L1441" s="58"/>
    </row>
    <row r="1442" spans="1:13" s="1" customFormat="1" ht="16.5" thickBot="1" x14ac:dyDescent="0.25">
      <c r="A1442" s="111" t="str">
        <f>IF(F1442&lt;&gt;"",1+MAX($A$7:A1441),"")</f>
        <v/>
      </c>
      <c r="B1442" s="2"/>
      <c r="C1442" s="2"/>
      <c r="D1442" s="41"/>
      <c r="E1442" s="55" t="s">
        <v>946</v>
      </c>
      <c r="F1442" s="31"/>
      <c r="G1442" s="25"/>
      <c r="H1442" s="4"/>
      <c r="I1442" s="26"/>
      <c r="J1442" s="75"/>
      <c r="K1442" s="69"/>
      <c r="L1442" s="59">
        <f>SUM(K1439:K1441)</f>
        <v>0</v>
      </c>
    </row>
    <row r="1443" spans="1:13" s="1" customFormat="1" ht="16.5" thickBot="1" x14ac:dyDescent="0.25">
      <c r="A1443" s="111" t="str">
        <f>IF(F1443&lt;&gt;"",1+MAX($A$7:A1442),"")</f>
        <v/>
      </c>
      <c r="B1443" s="2"/>
      <c r="C1443" s="2"/>
      <c r="D1443" s="60"/>
      <c r="E1443" s="55"/>
      <c r="F1443" s="31"/>
      <c r="G1443" s="3"/>
      <c r="H1443" s="4"/>
      <c r="I1443" s="26"/>
      <c r="J1443" s="75"/>
      <c r="K1443" s="69"/>
      <c r="L1443" s="58"/>
    </row>
    <row r="1444" spans="1:13" ht="16.5" thickBot="1" x14ac:dyDescent="0.25">
      <c r="A1444" s="111" t="str">
        <f>IF(F1444&lt;&gt;"",1+MAX($A$7:A1443),"")</f>
        <v/>
      </c>
      <c r="B1444" s="42"/>
      <c r="C1444" s="44"/>
      <c r="D1444" s="57"/>
      <c r="E1444" s="54" t="s">
        <v>491</v>
      </c>
      <c r="F1444" s="334"/>
      <c r="G1444" s="43"/>
      <c r="H1444" s="43"/>
      <c r="I1444" s="43"/>
      <c r="J1444" s="73"/>
      <c r="K1444" s="68"/>
      <c r="L1444" s="58"/>
      <c r="M1444" s="8"/>
    </row>
    <row r="1445" spans="1:13" s="1" customFormat="1" ht="31.5" x14ac:dyDescent="0.2">
      <c r="A1445" s="111">
        <f>IF(F1445&lt;&gt;"",1+MAX($A$7:A1444),"")</f>
        <v>520</v>
      </c>
      <c r="B1445" s="2" t="s">
        <v>492</v>
      </c>
      <c r="C1445" s="2" t="s">
        <v>495</v>
      </c>
      <c r="D1445" s="41"/>
      <c r="E1445" s="50" t="s">
        <v>494</v>
      </c>
      <c r="F1445" s="31">
        <v>8</v>
      </c>
      <c r="G1445" s="3">
        <v>0</v>
      </c>
      <c r="H1445" s="4">
        <f t="shared" ref="H1445" si="139">F1445*(1+G1445)</f>
        <v>8</v>
      </c>
      <c r="I1445" s="26" t="s">
        <v>20</v>
      </c>
      <c r="J1445" s="804">
        <v>0</v>
      </c>
      <c r="K1445" s="65">
        <f t="shared" ref="K1445" si="140">J1445*H1445</f>
        <v>0</v>
      </c>
      <c r="L1445" s="81"/>
      <c r="M1445" s="151"/>
    </row>
    <row r="1446" spans="1:13" s="1" customFormat="1" ht="16.5" thickBot="1" x14ac:dyDescent="0.25">
      <c r="A1446" s="111" t="str">
        <f>IF(F1446&lt;&gt;"",1+MAX($A$7:A1445),"")</f>
        <v/>
      </c>
      <c r="B1446" s="2"/>
      <c r="C1446" s="2"/>
      <c r="D1446" s="330"/>
      <c r="E1446" s="55"/>
      <c r="F1446" s="46"/>
      <c r="G1446" s="47"/>
      <c r="H1446" s="46"/>
      <c r="I1446" s="48"/>
      <c r="J1446" s="74"/>
      <c r="K1446" s="66"/>
      <c r="L1446" s="58"/>
    </row>
    <row r="1447" spans="1:13" s="1" customFormat="1" ht="16.5" thickBot="1" x14ac:dyDescent="0.25">
      <c r="A1447" s="111" t="str">
        <f>IF(F1447&lt;&gt;"",1+MAX($A$7:A1446),"")</f>
        <v/>
      </c>
      <c r="B1447" s="2"/>
      <c r="C1447" s="2"/>
      <c r="D1447" s="41"/>
      <c r="E1447" s="55" t="s">
        <v>493</v>
      </c>
      <c r="F1447" s="31"/>
      <c r="G1447" s="25"/>
      <c r="H1447" s="4"/>
      <c r="I1447" s="26"/>
      <c r="J1447" s="75"/>
      <c r="K1447" s="69"/>
      <c r="L1447" s="59">
        <f>SUM(K1444:K1446)</f>
        <v>0</v>
      </c>
    </row>
    <row r="1448" spans="1:13" s="1" customFormat="1" ht="16.5" thickBot="1" x14ac:dyDescent="0.25">
      <c r="A1448" s="111" t="str">
        <f>IF(F1448&lt;&gt;"",1+MAX($A$7:A1447),"")</f>
        <v/>
      </c>
      <c r="B1448" s="2"/>
      <c r="C1448" s="2"/>
      <c r="D1448" s="60"/>
      <c r="E1448" s="55"/>
      <c r="F1448" s="31"/>
      <c r="G1448" s="3"/>
      <c r="H1448" s="4"/>
      <c r="I1448" s="26"/>
      <c r="J1448" s="75"/>
      <c r="K1448" s="69"/>
      <c r="L1448" s="58"/>
    </row>
    <row r="1449" spans="1:13" ht="16.5" thickBot="1" x14ac:dyDescent="0.25">
      <c r="A1449" s="111" t="str">
        <f>IF(F1449&lt;&gt;"",1+MAX($A$7:A1448),"")</f>
        <v/>
      </c>
      <c r="B1449" s="42"/>
      <c r="C1449" s="44"/>
      <c r="D1449" s="57"/>
      <c r="E1449" s="54" t="s">
        <v>1845</v>
      </c>
      <c r="F1449" s="334"/>
      <c r="G1449" s="43"/>
      <c r="H1449" s="43"/>
      <c r="I1449" s="43"/>
      <c r="J1449" s="73"/>
      <c r="K1449" s="68"/>
      <c r="L1449" s="58"/>
      <c r="M1449" s="8"/>
    </row>
    <row r="1450" spans="1:13" s="1" customFormat="1" x14ac:dyDescent="0.2">
      <c r="A1450" s="111">
        <f>IF(F1450&lt;&gt;"",1+MAX($A$7:A1449),"")</f>
        <v>521</v>
      </c>
      <c r="B1450" s="2" t="s">
        <v>992</v>
      </c>
      <c r="C1450" s="2" t="s">
        <v>994</v>
      </c>
      <c r="D1450" s="41"/>
      <c r="E1450" s="50" t="s">
        <v>993</v>
      </c>
      <c r="F1450" s="31">
        <v>64.2</v>
      </c>
      <c r="G1450" s="3">
        <v>0.1</v>
      </c>
      <c r="H1450" s="4">
        <f t="shared" ref="H1450" si="141">F1450*(1+G1450)</f>
        <v>70.62</v>
      </c>
      <c r="I1450" s="26" t="s">
        <v>18</v>
      </c>
      <c r="J1450" s="130">
        <v>0</v>
      </c>
      <c r="K1450" s="65">
        <f t="shared" ref="K1450" si="142">J1450*H1450</f>
        <v>0</v>
      </c>
      <c r="L1450" s="81"/>
      <c r="M1450" s="151"/>
    </row>
    <row r="1451" spans="1:13" s="1" customFormat="1" ht="31.5" x14ac:dyDescent="0.2">
      <c r="A1451" s="111">
        <f>IF(F1451&lt;&gt;"",1+MAX($A$7:A1450),"")</f>
        <v>522</v>
      </c>
      <c r="B1451" s="2" t="s">
        <v>992</v>
      </c>
      <c r="C1451" s="2" t="s">
        <v>995</v>
      </c>
      <c r="D1451" s="41"/>
      <c r="E1451" s="50" t="s">
        <v>996</v>
      </c>
      <c r="F1451" s="31">
        <v>55</v>
      </c>
      <c r="G1451" s="3">
        <v>0</v>
      </c>
      <c r="H1451" s="4">
        <f t="shared" ref="H1451" si="143">F1451*(1+G1451)</f>
        <v>55</v>
      </c>
      <c r="I1451" s="26" t="s">
        <v>20</v>
      </c>
      <c r="J1451" s="130">
        <v>0</v>
      </c>
      <c r="K1451" s="65">
        <f t="shared" ref="K1451" si="144">J1451*H1451</f>
        <v>0</v>
      </c>
      <c r="L1451" s="81"/>
      <c r="M1451" s="151"/>
    </row>
    <row r="1452" spans="1:13" s="1" customFormat="1" x14ac:dyDescent="0.2">
      <c r="A1452" s="111">
        <f>IF(F1452&lt;&gt;"",1+MAX($A$7:A1451),"")</f>
        <v>523</v>
      </c>
      <c r="B1452" s="2" t="s">
        <v>992</v>
      </c>
      <c r="C1452" s="2"/>
      <c r="D1452" s="41"/>
      <c r="E1452" s="50" t="s">
        <v>997</v>
      </c>
      <c r="F1452" s="31">
        <v>2446.1999999999998</v>
      </c>
      <c r="G1452" s="3">
        <v>0.1</v>
      </c>
      <c r="H1452" s="4">
        <f t="shared" ref="H1452" si="145">F1452*(1+G1452)</f>
        <v>2690.82</v>
      </c>
      <c r="I1452" s="26" t="s">
        <v>15</v>
      </c>
      <c r="J1452" s="130">
        <v>0</v>
      </c>
      <c r="K1452" s="65">
        <f t="shared" ref="K1452" si="146">J1452*H1452</f>
        <v>0</v>
      </c>
      <c r="L1452" s="81"/>
      <c r="M1452" s="151"/>
    </row>
    <row r="1453" spans="1:13" s="1" customFormat="1" x14ac:dyDescent="0.2">
      <c r="A1453" s="111">
        <f>IF(F1453&lt;&gt;"",1+MAX($A$7:A1452),"")</f>
        <v>524</v>
      </c>
      <c r="B1453" s="2" t="s">
        <v>992</v>
      </c>
      <c r="C1453" s="2"/>
      <c r="D1453" s="41"/>
      <c r="E1453" s="50" t="s">
        <v>998</v>
      </c>
      <c r="F1453" s="31">
        <v>391.9</v>
      </c>
      <c r="G1453" s="3">
        <v>0.1</v>
      </c>
      <c r="H1453" s="4">
        <f t="shared" ref="H1453:H1460" si="147">F1453*(1+G1453)</f>
        <v>431.09000000000003</v>
      </c>
      <c r="I1453" s="26" t="s">
        <v>18</v>
      </c>
      <c r="J1453" s="130">
        <v>0</v>
      </c>
      <c r="K1453" s="65">
        <f t="shared" ref="K1453:K1460" si="148">J1453*H1453</f>
        <v>0</v>
      </c>
      <c r="L1453" s="81"/>
      <c r="M1453" s="151"/>
    </row>
    <row r="1454" spans="1:13" s="1" customFormat="1" x14ac:dyDescent="0.2">
      <c r="A1454" s="111">
        <f>IF(F1454&lt;&gt;"",1+MAX($A$7:A1453),"")</f>
        <v>525</v>
      </c>
      <c r="B1454" s="2" t="s">
        <v>992</v>
      </c>
      <c r="C1454" s="2"/>
      <c r="D1454" s="41"/>
      <c r="E1454" s="50" t="s">
        <v>999</v>
      </c>
      <c r="F1454" s="31">
        <v>3</v>
      </c>
      <c r="G1454" s="3">
        <v>0</v>
      </c>
      <c r="H1454" s="4">
        <f t="shared" si="147"/>
        <v>3</v>
      </c>
      <c r="I1454" s="26" t="s">
        <v>20</v>
      </c>
      <c r="J1454" s="130">
        <v>0</v>
      </c>
      <c r="K1454" s="65">
        <f t="shared" si="148"/>
        <v>0</v>
      </c>
      <c r="L1454" s="81"/>
      <c r="M1454" s="151"/>
    </row>
    <row r="1455" spans="1:13" s="1" customFormat="1" x14ac:dyDescent="0.2">
      <c r="A1455" s="111">
        <f>IF(F1455&lt;&gt;"",1+MAX($A$7:A1454),"")</f>
        <v>526</v>
      </c>
      <c r="B1455" s="2" t="s">
        <v>992</v>
      </c>
      <c r="C1455" s="2"/>
      <c r="D1455" s="41"/>
      <c r="E1455" s="50" t="s">
        <v>1000</v>
      </c>
      <c r="F1455" s="31">
        <v>21</v>
      </c>
      <c r="G1455" s="3">
        <v>0</v>
      </c>
      <c r="H1455" s="4">
        <f t="shared" ref="H1455" si="149">F1455*(1+G1455)</f>
        <v>21</v>
      </c>
      <c r="I1455" s="26" t="s">
        <v>20</v>
      </c>
      <c r="J1455" s="130">
        <v>0</v>
      </c>
      <c r="K1455" s="65">
        <f t="shared" ref="K1455" si="150">J1455*H1455</f>
        <v>0</v>
      </c>
      <c r="L1455" s="81"/>
      <c r="M1455" s="151"/>
    </row>
    <row r="1456" spans="1:13" s="1" customFormat="1" x14ac:dyDescent="0.2">
      <c r="A1456" s="111">
        <f>IF(F1456&lt;&gt;"",1+MAX($A$7:A1455),"")</f>
        <v>527</v>
      </c>
      <c r="B1456" s="2" t="s">
        <v>992</v>
      </c>
      <c r="C1456" s="2"/>
      <c r="D1456" s="41"/>
      <c r="E1456" s="50" t="s">
        <v>1828</v>
      </c>
      <c r="F1456" s="31">
        <v>1</v>
      </c>
      <c r="G1456" s="3">
        <v>0</v>
      </c>
      <c r="H1456" s="4">
        <f t="shared" si="147"/>
        <v>1</v>
      </c>
      <c r="I1456" s="26" t="s">
        <v>20</v>
      </c>
      <c r="J1456" s="130">
        <v>0</v>
      </c>
      <c r="K1456" s="65">
        <f t="shared" si="148"/>
        <v>0</v>
      </c>
      <c r="L1456" s="81"/>
      <c r="M1456" s="151"/>
    </row>
    <row r="1457" spans="1:13" s="1" customFormat="1" x14ac:dyDescent="0.2">
      <c r="A1457" s="111">
        <f>IF(F1457&lt;&gt;"",1+MAX($A$7:A1456),"")</f>
        <v>528</v>
      </c>
      <c r="B1457" s="2" t="s">
        <v>992</v>
      </c>
      <c r="C1457" s="2"/>
      <c r="D1457" s="41"/>
      <c r="E1457" s="50" t="s">
        <v>1829</v>
      </c>
      <c r="F1457" s="31">
        <v>6</v>
      </c>
      <c r="G1457" s="3">
        <v>0</v>
      </c>
      <c r="H1457" s="4">
        <f t="shared" ref="H1457:H1458" si="151">F1457*(1+G1457)</f>
        <v>6</v>
      </c>
      <c r="I1457" s="26" t="s">
        <v>20</v>
      </c>
      <c r="J1457" s="130">
        <v>0</v>
      </c>
      <c r="K1457" s="65">
        <f t="shared" ref="K1457:K1458" si="152">J1457*H1457</f>
        <v>0</v>
      </c>
      <c r="L1457" s="81"/>
      <c r="M1457" s="151"/>
    </row>
    <row r="1458" spans="1:13" s="1" customFormat="1" x14ac:dyDescent="0.2">
      <c r="A1458" s="111">
        <f>IF(F1458&lt;&gt;"",1+MAX($A$7:A1457),"")</f>
        <v>529</v>
      </c>
      <c r="B1458" s="2" t="s">
        <v>992</v>
      </c>
      <c r="C1458" s="2"/>
      <c r="D1458" s="41"/>
      <c r="E1458" s="50" t="s">
        <v>1830</v>
      </c>
      <c r="F1458" s="31">
        <v>11</v>
      </c>
      <c r="G1458" s="3">
        <v>0</v>
      </c>
      <c r="H1458" s="4">
        <f t="shared" si="151"/>
        <v>11</v>
      </c>
      <c r="I1458" s="26" t="s">
        <v>20</v>
      </c>
      <c r="J1458" s="130">
        <v>0</v>
      </c>
      <c r="K1458" s="65">
        <f t="shared" si="152"/>
        <v>0</v>
      </c>
      <c r="L1458" s="81"/>
      <c r="M1458" s="151"/>
    </row>
    <row r="1459" spans="1:13" s="1" customFormat="1" x14ac:dyDescent="0.2">
      <c r="A1459" s="111">
        <f>IF(F1459&lt;&gt;"",1+MAX($A$7:A1458),"")</f>
        <v>530</v>
      </c>
      <c r="B1459" s="2" t="s">
        <v>992</v>
      </c>
      <c r="C1459" s="2" t="s">
        <v>1006</v>
      </c>
      <c r="D1459" s="41"/>
      <c r="E1459" s="50" t="s">
        <v>1008</v>
      </c>
      <c r="F1459" s="31">
        <v>8</v>
      </c>
      <c r="G1459" s="3">
        <v>0</v>
      </c>
      <c r="H1459" s="4">
        <f t="shared" si="147"/>
        <v>8</v>
      </c>
      <c r="I1459" s="26" t="s">
        <v>20</v>
      </c>
      <c r="J1459" s="130">
        <v>0</v>
      </c>
      <c r="K1459" s="65">
        <f t="shared" si="148"/>
        <v>0</v>
      </c>
      <c r="L1459" s="81"/>
      <c r="M1459" s="151"/>
    </row>
    <row r="1460" spans="1:13" s="1" customFormat="1" x14ac:dyDescent="0.2">
      <c r="A1460" s="111">
        <f>IF(F1460&lt;&gt;"",1+MAX($A$7:A1459),"")</f>
        <v>531</v>
      </c>
      <c r="B1460" s="2" t="s">
        <v>992</v>
      </c>
      <c r="C1460" s="2" t="s">
        <v>1007</v>
      </c>
      <c r="D1460" s="41"/>
      <c r="E1460" s="50" t="s">
        <v>1009</v>
      </c>
      <c r="F1460" s="31">
        <v>19</v>
      </c>
      <c r="G1460" s="3">
        <v>0.1</v>
      </c>
      <c r="H1460" s="4">
        <f t="shared" si="147"/>
        <v>20.900000000000002</v>
      </c>
      <c r="I1460" s="26" t="s">
        <v>15</v>
      </c>
      <c r="J1460" s="130">
        <v>0</v>
      </c>
      <c r="K1460" s="65">
        <f t="shared" si="148"/>
        <v>0</v>
      </c>
      <c r="L1460" s="81"/>
      <c r="M1460" s="151"/>
    </row>
    <row r="1461" spans="1:13" s="1" customFormat="1" ht="16.5" thickBot="1" x14ac:dyDescent="0.25">
      <c r="A1461" s="111" t="str">
        <f>IF(F1461&lt;&gt;"",1+MAX($A$7:A1460),"")</f>
        <v/>
      </c>
      <c r="B1461" s="2"/>
      <c r="C1461" s="2"/>
      <c r="D1461" s="330"/>
      <c r="E1461" s="55"/>
      <c r="F1461" s="46"/>
      <c r="G1461" s="47"/>
      <c r="H1461" s="46"/>
      <c r="I1461" s="48"/>
      <c r="J1461" s="74"/>
      <c r="K1461" s="66"/>
      <c r="L1461" s="58"/>
    </row>
    <row r="1462" spans="1:13" s="1" customFormat="1" ht="16.5" thickBot="1" x14ac:dyDescent="0.25">
      <c r="A1462" s="111" t="str">
        <f>IF(F1462&lt;&gt;"",1+MAX($A$7:A1461),"")</f>
        <v/>
      </c>
      <c r="B1462" s="2"/>
      <c r="C1462" s="2"/>
      <c r="D1462" s="41"/>
      <c r="E1462" s="55" t="s">
        <v>1846</v>
      </c>
      <c r="F1462" s="31"/>
      <c r="G1462" s="25"/>
      <c r="H1462" s="4"/>
      <c r="I1462" s="26"/>
      <c r="J1462" s="75"/>
      <c r="K1462" s="69"/>
      <c r="L1462" s="59">
        <f>SUM(K1449:K1461)</f>
        <v>0</v>
      </c>
    </row>
    <row r="1463" spans="1:13" s="1" customFormat="1" ht="16.5" thickBot="1" x14ac:dyDescent="0.25">
      <c r="A1463" s="111" t="str">
        <f>IF(F1463&lt;&gt;"",1+MAX($A$7:A1462),"")</f>
        <v/>
      </c>
      <c r="B1463" s="2"/>
      <c r="C1463" s="2"/>
      <c r="D1463" s="60"/>
      <c r="E1463" s="55"/>
      <c r="F1463" s="31"/>
      <c r="G1463" s="3"/>
      <c r="H1463" s="4"/>
      <c r="I1463" s="26"/>
      <c r="J1463" s="75"/>
      <c r="K1463" s="69"/>
      <c r="L1463" s="58"/>
    </row>
    <row r="1464" spans="1:13" ht="16.5" thickBot="1" x14ac:dyDescent="0.25">
      <c r="A1464" s="111" t="str">
        <f>IF(F1464&lt;&gt;"",1+MAX($A$7:A1463),"")</f>
        <v/>
      </c>
      <c r="B1464" s="62"/>
      <c r="C1464" s="35"/>
      <c r="D1464" s="52" t="s">
        <v>76</v>
      </c>
      <c r="E1464" s="53" t="s">
        <v>460</v>
      </c>
      <c r="F1464" s="36"/>
      <c r="G1464" s="37"/>
      <c r="H1464" s="38"/>
      <c r="I1464" s="39"/>
      <c r="J1464" s="76"/>
      <c r="K1464" s="80"/>
      <c r="L1464" s="58"/>
      <c r="M1464" s="151"/>
    </row>
    <row r="1465" spans="1:13" ht="16.5" thickBot="1" x14ac:dyDescent="0.25">
      <c r="A1465" s="111" t="str">
        <f>IF(F1465&lt;&gt;"",1+MAX($A$7:A1464),"")</f>
        <v/>
      </c>
      <c r="B1465" s="42"/>
      <c r="C1465" s="44"/>
      <c r="D1465" s="57"/>
      <c r="E1465" s="54" t="s">
        <v>77</v>
      </c>
      <c r="F1465" s="78"/>
      <c r="G1465" s="43"/>
      <c r="H1465" s="43"/>
      <c r="I1465" s="43"/>
      <c r="J1465" s="73"/>
      <c r="K1465" s="68"/>
      <c r="L1465" s="58"/>
      <c r="M1465" s="8"/>
    </row>
    <row r="1466" spans="1:13" s="1" customFormat="1" ht="78.75" x14ac:dyDescent="0.2">
      <c r="A1466" s="111">
        <f>IF(F1466&lt;&gt;"",1+MAX($A$7:A1465),"")</f>
        <v>532</v>
      </c>
      <c r="B1466" s="2" t="s">
        <v>461</v>
      </c>
      <c r="C1466" s="2" t="s">
        <v>443</v>
      </c>
      <c r="D1466" s="631" t="s">
        <v>1299</v>
      </c>
      <c r="E1466" s="50" t="s">
        <v>1296</v>
      </c>
      <c r="F1466" s="31">
        <v>64</v>
      </c>
      <c r="G1466" s="3">
        <v>0</v>
      </c>
      <c r="H1466" s="4">
        <f t="shared" ref="H1466:H1472" si="153">F1466*(1+G1466)</f>
        <v>64</v>
      </c>
      <c r="I1466" s="26" t="s">
        <v>20</v>
      </c>
      <c r="J1466" s="130">
        <v>0</v>
      </c>
      <c r="K1466" s="65">
        <f t="shared" ref="K1466:K1472" si="154">J1466*H1466</f>
        <v>0</v>
      </c>
      <c r="L1466" s="81"/>
      <c r="M1466" s="151"/>
    </row>
    <row r="1467" spans="1:13" s="1" customFormat="1" ht="78.75" x14ac:dyDescent="0.2">
      <c r="A1467" s="111">
        <f>IF(F1467&lt;&gt;"",1+MAX($A$7:A1466),"")</f>
        <v>533</v>
      </c>
      <c r="B1467" s="2" t="s">
        <v>461</v>
      </c>
      <c r="C1467" s="2" t="s">
        <v>443</v>
      </c>
      <c r="D1467" s="632" t="s">
        <v>1299</v>
      </c>
      <c r="E1467" s="50" t="s">
        <v>1294</v>
      </c>
      <c r="F1467" s="31">
        <v>64</v>
      </c>
      <c r="G1467" s="3">
        <v>0</v>
      </c>
      <c r="H1467" s="4">
        <f t="shared" si="153"/>
        <v>64</v>
      </c>
      <c r="I1467" s="26" t="s">
        <v>20</v>
      </c>
      <c r="J1467" s="130">
        <v>0</v>
      </c>
      <c r="K1467" s="65">
        <f t="shared" si="154"/>
        <v>0</v>
      </c>
      <c r="L1467" s="81"/>
      <c r="M1467" s="151"/>
    </row>
    <row r="1468" spans="1:13" s="1" customFormat="1" ht="78.75" x14ac:dyDescent="0.2">
      <c r="A1468" s="111">
        <f>IF(F1468&lt;&gt;"",1+MAX($A$7:A1467),"")</f>
        <v>534</v>
      </c>
      <c r="B1468" s="2" t="s">
        <v>461</v>
      </c>
      <c r="C1468" s="2" t="s">
        <v>443</v>
      </c>
      <c r="D1468" s="632" t="s">
        <v>1299</v>
      </c>
      <c r="E1468" s="50" t="s">
        <v>1295</v>
      </c>
      <c r="F1468" s="31">
        <v>64</v>
      </c>
      <c r="G1468" s="3">
        <v>0</v>
      </c>
      <c r="H1468" s="4">
        <f t="shared" ref="H1468" si="155">F1468*(1+G1468)</f>
        <v>64</v>
      </c>
      <c r="I1468" s="26" t="s">
        <v>20</v>
      </c>
      <c r="J1468" s="130">
        <v>0</v>
      </c>
      <c r="K1468" s="65">
        <f t="shared" ref="K1468" si="156">J1468*H1468</f>
        <v>0</v>
      </c>
      <c r="L1468" s="81"/>
      <c r="M1468" s="151"/>
    </row>
    <row r="1469" spans="1:13" s="1" customFormat="1" ht="78.75" x14ac:dyDescent="0.2">
      <c r="A1469" s="111">
        <f>IF(F1469&lt;&gt;"",1+MAX($A$7:A1468),"")</f>
        <v>535</v>
      </c>
      <c r="B1469" s="2" t="s">
        <v>461</v>
      </c>
      <c r="C1469" s="2" t="s">
        <v>443</v>
      </c>
      <c r="D1469" s="632" t="s">
        <v>1299</v>
      </c>
      <c r="E1469" s="50" t="s">
        <v>1293</v>
      </c>
      <c r="F1469" s="31">
        <v>64</v>
      </c>
      <c r="G1469" s="3">
        <v>0</v>
      </c>
      <c r="H1469" s="4">
        <f t="shared" si="153"/>
        <v>64</v>
      </c>
      <c r="I1469" s="26" t="s">
        <v>20</v>
      </c>
      <c r="J1469" s="130">
        <v>0</v>
      </c>
      <c r="K1469" s="65">
        <f t="shared" si="154"/>
        <v>0</v>
      </c>
      <c r="L1469" s="81"/>
      <c r="M1469" s="151"/>
    </row>
    <row r="1470" spans="1:13" s="1" customFormat="1" ht="47.25" x14ac:dyDescent="0.2">
      <c r="A1470" s="111">
        <f>IF(F1470&lt;&gt;"",1+MAX($A$7:A1469),"")</f>
        <v>536</v>
      </c>
      <c r="B1470" s="2" t="s">
        <v>461</v>
      </c>
      <c r="C1470" s="633" t="s">
        <v>437</v>
      </c>
      <c r="D1470" s="632" t="s">
        <v>1299</v>
      </c>
      <c r="E1470" s="630" t="s">
        <v>1297</v>
      </c>
      <c r="F1470" s="31">
        <v>64</v>
      </c>
      <c r="G1470" s="3">
        <v>0</v>
      </c>
      <c r="H1470" s="4">
        <f t="shared" si="153"/>
        <v>64</v>
      </c>
      <c r="I1470" s="26" t="s">
        <v>20</v>
      </c>
      <c r="J1470" s="130">
        <v>0</v>
      </c>
      <c r="K1470" s="65">
        <f t="shared" si="154"/>
        <v>0</v>
      </c>
      <c r="L1470" s="81"/>
      <c r="M1470" s="151"/>
    </row>
    <row r="1471" spans="1:13" s="1" customFormat="1" ht="94.5" x14ac:dyDescent="0.2">
      <c r="A1471" s="111">
        <f>IF(F1471&lt;&gt;"",1+MAX($A$7:A1470),"")</f>
        <v>537</v>
      </c>
      <c r="B1471" s="2" t="s">
        <v>461</v>
      </c>
      <c r="C1471" s="2" t="s">
        <v>443</v>
      </c>
      <c r="D1471" s="632" t="s">
        <v>1299</v>
      </c>
      <c r="E1471" s="50" t="s">
        <v>1292</v>
      </c>
      <c r="F1471" s="31">
        <v>8</v>
      </c>
      <c r="G1471" s="3">
        <v>0</v>
      </c>
      <c r="H1471" s="4">
        <f t="shared" si="153"/>
        <v>8</v>
      </c>
      <c r="I1471" s="26" t="s">
        <v>20</v>
      </c>
      <c r="J1471" s="130">
        <v>0</v>
      </c>
      <c r="K1471" s="65">
        <f t="shared" si="154"/>
        <v>0</v>
      </c>
      <c r="L1471" s="81"/>
      <c r="M1471" s="151"/>
    </row>
    <row r="1472" spans="1:13" s="1" customFormat="1" ht="78.75" x14ac:dyDescent="0.2">
      <c r="A1472" s="111">
        <f>IF(F1472&lt;&gt;"",1+MAX($A$7:A1471),"")</f>
        <v>538</v>
      </c>
      <c r="B1472" s="2" t="s">
        <v>461</v>
      </c>
      <c r="C1472" s="2" t="s">
        <v>443</v>
      </c>
      <c r="D1472" s="632" t="s">
        <v>1299</v>
      </c>
      <c r="E1472" s="50" t="s">
        <v>1291</v>
      </c>
      <c r="F1472" s="31">
        <v>4</v>
      </c>
      <c r="G1472" s="3">
        <v>0</v>
      </c>
      <c r="H1472" s="4">
        <f t="shared" si="153"/>
        <v>4</v>
      </c>
      <c r="I1472" s="26" t="s">
        <v>20</v>
      </c>
      <c r="J1472" s="130">
        <v>0</v>
      </c>
      <c r="K1472" s="65">
        <f t="shared" si="154"/>
        <v>0</v>
      </c>
      <c r="L1472" s="81"/>
      <c r="M1472" s="151"/>
    </row>
    <row r="1473" spans="1:13" s="1" customFormat="1" x14ac:dyDescent="0.2">
      <c r="A1473" s="111">
        <f>IF(F1473&lt;&gt;"",1+MAX($A$7:A1472),"")</f>
        <v>539</v>
      </c>
      <c r="B1473" s="2" t="s">
        <v>461</v>
      </c>
      <c r="C1473" s="2"/>
      <c r="D1473" s="41"/>
      <c r="E1473" s="50" t="s">
        <v>1298</v>
      </c>
      <c r="F1473" s="31">
        <v>64</v>
      </c>
      <c r="G1473" s="3">
        <v>0</v>
      </c>
      <c r="H1473" s="4">
        <f t="shared" ref="H1473" si="157">F1473*(1+G1473)</f>
        <v>64</v>
      </c>
      <c r="I1473" s="26" t="s">
        <v>20</v>
      </c>
      <c r="J1473" s="130">
        <v>0</v>
      </c>
      <c r="K1473" s="65">
        <f t="shared" ref="K1473" si="158">J1473*H1473</f>
        <v>0</v>
      </c>
      <c r="L1473" s="81"/>
      <c r="M1473" s="151"/>
    </row>
    <row r="1474" spans="1:13" s="1" customFormat="1" ht="16.5" thickBot="1" x14ac:dyDescent="0.25">
      <c r="A1474" s="111" t="str">
        <f>IF(F1474&lt;&gt;"",1+MAX($A$7:A1473),"")</f>
        <v/>
      </c>
      <c r="B1474" s="2"/>
      <c r="C1474" s="2"/>
      <c r="D1474" s="41"/>
      <c r="E1474" s="55"/>
      <c r="F1474" s="46"/>
      <c r="G1474" s="47"/>
      <c r="H1474" s="46"/>
      <c r="I1474" s="48"/>
      <c r="J1474" s="74"/>
      <c r="K1474" s="66"/>
      <c r="L1474" s="58"/>
    </row>
    <row r="1475" spans="1:13" s="1" customFormat="1" ht="16.5" thickBot="1" x14ac:dyDescent="0.25">
      <c r="A1475" s="111" t="str">
        <f>IF(F1475&lt;&gt;"",1+MAX($A$7:A1474),"")</f>
        <v/>
      </c>
      <c r="B1475" s="2"/>
      <c r="C1475" s="2"/>
      <c r="D1475" s="41"/>
      <c r="E1475" s="55" t="s">
        <v>459</v>
      </c>
      <c r="F1475" s="31"/>
      <c r="G1475" s="25"/>
      <c r="H1475" s="4"/>
      <c r="I1475" s="26"/>
      <c r="J1475" s="75"/>
      <c r="K1475" s="69"/>
      <c r="L1475" s="59">
        <f>SUM(K1465:K1474)</f>
        <v>0</v>
      </c>
    </row>
    <row r="1476" spans="1:13" s="1" customFormat="1" ht="16.5" thickBot="1" x14ac:dyDescent="0.25">
      <c r="A1476" s="111" t="str">
        <f>IF(F1476&lt;&gt;"",1+MAX($A$7:A1475),"")</f>
        <v/>
      </c>
      <c r="B1476" s="2"/>
      <c r="C1476" s="2"/>
      <c r="D1476" s="60"/>
      <c r="E1476" s="55"/>
      <c r="F1476" s="31"/>
      <c r="G1476" s="3"/>
      <c r="H1476" s="4"/>
      <c r="I1476" s="26"/>
      <c r="J1476" s="75"/>
      <c r="K1476" s="69"/>
      <c r="L1476" s="58"/>
    </row>
    <row r="1477" spans="1:13" ht="16.5" thickBot="1" x14ac:dyDescent="0.25">
      <c r="A1477" s="111" t="str">
        <f>IF(F1477&lt;&gt;"",1+MAX($A$7:A1476),"")</f>
        <v/>
      </c>
      <c r="B1477" s="62"/>
      <c r="C1477" s="35"/>
      <c r="D1477" s="52" t="s">
        <v>25</v>
      </c>
      <c r="E1477" s="53" t="s">
        <v>26</v>
      </c>
      <c r="F1477" s="36"/>
      <c r="G1477" s="37"/>
      <c r="H1477" s="38"/>
      <c r="I1477" s="39"/>
      <c r="J1477" s="76"/>
      <c r="K1477" s="80"/>
      <c r="L1477" s="58"/>
    </row>
    <row r="1478" spans="1:13" s="1" customFormat="1" x14ac:dyDescent="0.2">
      <c r="A1478" s="111" t="str">
        <f>IF(F1478&lt;&gt;"",1+MAX($A$7:A1477),"")</f>
        <v/>
      </c>
      <c r="B1478" s="2"/>
      <c r="C1478" s="2"/>
      <c r="D1478" s="41"/>
      <c r="E1478" s="196" t="s">
        <v>39</v>
      </c>
      <c r="F1478" s="31"/>
      <c r="G1478" s="25"/>
      <c r="H1478" s="4"/>
      <c r="I1478" s="26"/>
      <c r="J1478" s="75"/>
      <c r="K1478" s="65"/>
      <c r="L1478" s="58"/>
      <c r="M1478" s="151"/>
    </row>
    <row r="1479" spans="1:13" s="1" customFormat="1" ht="31.5" x14ac:dyDescent="0.2">
      <c r="A1479" s="111">
        <f>IF(F1479&lt;&gt;"",1+MAX($A$7:A1478),"")</f>
        <v>540</v>
      </c>
      <c r="B1479" s="2" t="s">
        <v>461</v>
      </c>
      <c r="C1479" s="2" t="s">
        <v>443</v>
      </c>
      <c r="D1479" s="41"/>
      <c r="E1479" s="56" t="s">
        <v>98</v>
      </c>
      <c r="F1479" s="17">
        <v>2435.4</v>
      </c>
      <c r="G1479" s="127">
        <v>0.1</v>
      </c>
      <c r="H1479" s="4">
        <f t="shared" ref="H1479" si="159">F1479*(1+G1479)</f>
        <v>2678.9400000000005</v>
      </c>
      <c r="I1479" s="26" t="s">
        <v>18</v>
      </c>
      <c r="J1479" s="130">
        <v>0</v>
      </c>
      <c r="K1479" s="65">
        <f t="shared" ref="K1479" si="160">J1479*H1479</f>
        <v>0</v>
      </c>
      <c r="L1479" s="81"/>
      <c r="M1479" s="151"/>
    </row>
    <row r="1480" spans="1:13" s="1" customFormat="1" x14ac:dyDescent="0.2">
      <c r="A1480" s="111" t="str">
        <f>IF(F1480&lt;&gt;"",1+MAX($A$7:A1479),"")</f>
        <v/>
      </c>
      <c r="B1480" s="45"/>
      <c r="C1480" s="2"/>
      <c r="D1480" s="41"/>
      <c r="E1480" s="56"/>
      <c r="F1480" s="17"/>
      <c r="G1480" s="3"/>
      <c r="H1480" s="4"/>
      <c r="I1480" s="26"/>
      <c r="J1480" s="88"/>
      <c r="K1480" s="65"/>
      <c r="L1480" s="81"/>
      <c r="M1480" s="151"/>
    </row>
    <row r="1481" spans="1:13" s="1" customFormat="1" x14ac:dyDescent="0.2">
      <c r="A1481" s="111" t="str">
        <f>IF(F1481&lt;&gt;"",1+MAX($A$7:A1480),"")</f>
        <v/>
      </c>
      <c r="B1481" s="2" t="s">
        <v>461</v>
      </c>
      <c r="C1481" s="2" t="s">
        <v>443</v>
      </c>
      <c r="D1481" s="41"/>
      <c r="E1481" s="196" t="s">
        <v>99</v>
      </c>
      <c r="F1481" s="31"/>
      <c r="G1481" s="25"/>
      <c r="H1481" s="4"/>
      <c r="I1481" s="26"/>
      <c r="J1481" s="75"/>
      <c r="K1481" s="65"/>
      <c r="L1481" s="58"/>
      <c r="M1481" s="151"/>
    </row>
    <row r="1482" spans="1:13" s="1" customFormat="1" x14ac:dyDescent="0.2">
      <c r="A1482" s="111">
        <f>IF(F1482&lt;&gt;"",1+MAX($A$7:A1481),"")</f>
        <v>541</v>
      </c>
      <c r="B1482" s="2" t="s">
        <v>461</v>
      </c>
      <c r="C1482" s="2" t="s">
        <v>443</v>
      </c>
      <c r="D1482" s="41"/>
      <c r="E1482" s="56" t="s">
        <v>462</v>
      </c>
      <c r="F1482" s="17">
        <v>40.480000000000004</v>
      </c>
      <c r="G1482" s="127">
        <v>0.1</v>
      </c>
      <c r="H1482" s="4">
        <f t="shared" ref="H1482:H1489" si="161">F1482*(1+G1482)</f>
        <v>44.528000000000006</v>
      </c>
      <c r="I1482" s="26" t="s">
        <v>15</v>
      </c>
      <c r="J1482" s="130">
        <v>0</v>
      </c>
      <c r="K1482" s="65">
        <f t="shared" ref="K1482:K1489" si="162">J1482*H1482</f>
        <v>0</v>
      </c>
      <c r="L1482" s="81"/>
      <c r="M1482" s="151"/>
    </row>
    <row r="1483" spans="1:13" s="1" customFormat="1" x14ac:dyDescent="0.2">
      <c r="A1483" s="111">
        <f>IF(F1483&lt;&gt;"",1+MAX($A$7:A1482),"")</f>
        <v>542</v>
      </c>
      <c r="B1483" s="2" t="s">
        <v>461</v>
      </c>
      <c r="C1483" s="2" t="s">
        <v>443</v>
      </c>
      <c r="D1483" s="41"/>
      <c r="E1483" s="56" t="s">
        <v>463</v>
      </c>
      <c r="F1483" s="17">
        <v>161.43000000000004</v>
      </c>
      <c r="G1483" s="127">
        <v>0.1</v>
      </c>
      <c r="H1483" s="4">
        <f t="shared" si="161"/>
        <v>177.57300000000006</v>
      </c>
      <c r="I1483" s="26" t="s">
        <v>15</v>
      </c>
      <c r="J1483" s="130">
        <v>0</v>
      </c>
      <c r="K1483" s="65">
        <f t="shared" si="162"/>
        <v>0</v>
      </c>
      <c r="L1483" s="81"/>
      <c r="M1483" s="151"/>
    </row>
    <row r="1484" spans="1:13" s="1" customFormat="1" x14ac:dyDescent="0.2">
      <c r="A1484" s="111">
        <f>IF(F1484&lt;&gt;"",1+MAX($A$7:A1483),"")</f>
        <v>543</v>
      </c>
      <c r="B1484" s="2" t="s">
        <v>461</v>
      </c>
      <c r="C1484" s="2" t="s">
        <v>443</v>
      </c>
      <c r="D1484" s="41"/>
      <c r="E1484" s="56" t="s">
        <v>464</v>
      </c>
      <c r="F1484" s="17">
        <v>136.36000000000001</v>
      </c>
      <c r="G1484" s="127">
        <v>0.1</v>
      </c>
      <c r="H1484" s="4">
        <f t="shared" si="161"/>
        <v>149.99600000000004</v>
      </c>
      <c r="I1484" s="26" t="s">
        <v>15</v>
      </c>
      <c r="J1484" s="130">
        <v>0</v>
      </c>
      <c r="K1484" s="65">
        <f t="shared" si="162"/>
        <v>0</v>
      </c>
      <c r="L1484" s="81"/>
      <c r="M1484" s="151"/>
    </row>
    <row r="1485" spans="1:13" s="1" customFormat="1" x14ac:dyDescent="0.2">
      <c r="A1485" s="111">
        <f>IF(F1485&lt;&gt;"",1+MAX($A$7:A1484),"")</f>
        <v>544</v>
      </c>
      <c r="B1485" s="2" t="s">
        <v>461</v>
      </c>
      <c r="C1485" s="2" t="s">
        <v>443</v>
      </c>
      <c r="D1485" s="41"/>
      <c r="E1485" s="56" t="s">
        <v>465</v>
      </c>
      <c r="F1485" s="17">
        <v>627.87999999999988</v>
      </c>
      <c r="G1485" s="127">
        <v>0.1</v>
      </c>
      <c r="H1485" s="4">
        <f t="shared" si="161"/>
        <v>690.66799999999989</v>
      </c>
      <c r="I1485" s="26" t="s">
        <v>15</v>
      </c>
      <c r="J1485" s="130">
        <v>0</v>
      </c>
      <c r="K1485" s="65">
        <f t="shared" si="162"/>
        <v>0</v>
      </c>
      <c r="L1485" s="81"/>
      <c r="M1485" s="151"/>
    </row>
    <row r="1486" spans="1:13" s="1" customFormat="1" x14ac:dyDescent="0.2">
      <c r="A1486" s="111">
        <f>IF(F1486&lt;&gt;"",1+MAX($A$7:A1485),"")</f>
        <v>545</v>
      </c>
      <c r="B1486" s="2" t="s">
        <v>461</v>
      </c>
      <c r="C1486" s="2" t="s">
        <v>443</v>
      </c>
      <c r="D1486" s="41"/>
      <c r="E1486" s="56" t="s">
        <v>466</v>
      </c>
      <c r="F1486" s="17">
        <v>43.239999999999995</v>
      </c>
      <c r="G1486" s="127">
        <v>0.1</v>
      </c>
      <c r="H1486" s="4">
        <f t="shared" si="161"/>
        <v>47.564</v>
      </c>
      <c r="I1486" s="26" t="s">
        <v>15</v>
      </c>
      <c r="J1486" s="130">
        <v>0</v>
      </c>
      <c r="K1486" s="65">
        <f t="shared" si="162"/>
        <v>0</v>
      </c>
      <c r="L1486" s="81"/>
      <c r="M1486" s="151"/>
    </row>
    <row r="1487" spans="1:13" s="1" customFormat="1" x14ac:dyDescent="0.2">
      <c r="A1487" s="111">
        <f>IF(F1487&lt;&gt;"",1+MAX($A$7:A1486),"")</f>
        <v>546</v>
      </c>
      <c r="B1487" s="2" t="s">
        <v>461</v>
      </c>
      <c r="C1487" s="2" t="s">
        <v>443</v>
      </c>
      <c r="D1487" s="41"/>
      <c r="E1487" s="56" t="s">
        <v>467</v>
      </c>
      <c r="F1487" s="17">
        <v>3</v>
      </c>
      <c r="G1487" s="127">
        <v>0.1</v>
      </c>
      <c r="H1487" s="4">
        <f t="shared" si="161"/>
        <v>3.3000000000000003</v>
      </c>
      <c r="I1487" s="26" t="s">
        <v>15</v>
      </c>
      <c r="J1487" s="130">
        <v>0</v>
      </c>
      <c r="K1487" s="65">
        <f t="shared" si="162"/>
        <v>0</v>
      </c>
      <c r="L1487" s="81"/>
      <c r="M1487" s="151"/>
    </row>
    <row r="1488" spans="1:13" s="1" customFormat="1" x14ac:dyDescent="0.2">
      <c r="A1488" s="111">
        <f>IF(F1488&lt;&gt;"",1+MAX($A$7:A1487),"")</f>
        <v>547</v>
      </c>
      <c r="B1488" s="2" t="s">
        <v>461</v>
      </c>
      <c r="C1488" s="2" t="s">
        <v>443</v>
      </c>
      <c r="D1488" s="41"/>
      <c r="E1488" s="56" t="s">
        <v>468</v>
      </c>
      <c r="F1488" s="17">
        <v>257.32</v>
      </c>
      <c r="G1488" s="127">
        <v>0.1</v>
      </c>
      <c r="H1488" s="4">
        <f t="shared" si="161"/>
        <v>283.05200000000002</v>
      </c>
      <c r="I1488" s="26" t="s">
        <v>15</v>
      </c>
      <c r="J1488" s="335">
        <f>J$1487</f>
        <v>0</v>
      </c>
      <c r="K1488" s="65">
        <f t="shared" si="162"/>
        <v>0</v>
      </c>
      <c r="L1488" s="81"/>
      <c r="M1488" s="151"/>
    </row>
    <row r="1489" spans="1:13" s="1" customFormat="1" x14ac:dyDescent="0.2">
      <c r="A1489" s="111">
        <f>IF(F1489&lt;&gt;"",1+MAX($A$7:A1488),"")</f>
        <v>548</v>
      </c>
      <c r="B1489" s="2" t="s">
        <v>461</v>
      </c>
      <c r="C1489" s="2" t="s">
        <v>443</v>
      </c>
      <c r="D1489" s="41"/>
      <c r="E1489" s="50" t="s">
        <v>469</v>
      </c>
      <c r="F1489" s="461">
        <v>191.72</v>
      </c>
      <c r="G1489" s="127">
        <v>0.1</v>
      </c>
      <c r="H1489" s="33">
        <f t="shared" si="161"/>
        <v>210.89200000000002</v>
      </c>
      <c r="I1489" s="34" t="s">
        <v>15</v>
      </c>
      <c r="J1489" s="335">
        <f>J$1487</f>
        <v>0</v>
      </c>
      <c r="K1489" s="262">
        <f t="shared" si="162"/>
        <v>0</v>
      </c>
      <c r="L1489" s="81"/>
      <c r="M1489" s="328"/>
    </row>
    <row r="1490" spans="1:13" s="1" customFormat="1" x14ac:dyDescent="0.2">
      <c r="A1490" s="111" t="str">
        <f>IF(F1490&lt;&gt;"",1+MAX($A$7:A1489),"")</f>
        <v/>
      </c>
      <c r="B1490" s="45"/>
      <c r="C1490" s="2"/>
      <c r="D1490" s="41"/>
      <c r="E1490" s="50"/>
      <c r="F1490" s="461"/>
      <c r="G1490" s="3"/>
      <c r="H1490" s="4"/>
      <c r="I1490" s="26"/>
      <c r="J1490" s="88"/>
      <c r="K1490" s="65"/>
      <c r="L1490" s="81"/>
      <c r="M1490" s="151"/>
    </row>
    <row r="1491" spans="1:13" s="1" customFormat="1" x14ac:dyDescent="0.2">
      <c r="A1491" s="111" t="str">
        <f>IF(F1491&lt;&gt;"",1+MAX($A$7:A1490),"")</f>
        <v/>
      </c>
      <c r="B1491" s="2"/>
      <c r="C1491" s="2"/>
      <c r="D1491" s="41"/>
      <c r="E1491" s="196" t="s">
        <v>470</v>
      </c>
      <c r="F1491" s="31"/>
      <c r="G1491" s="25"/>
      <c r="H1491" s="4"/>
      <c r="I1491" s="26"/>
      <c r="J1491" s="75"/>
      <c r="K1491" s="65"/>
      <c r="L1491" s="58"/>
      <c r="M1491" s="151"/>
    </row>
    <row r="1492" spans="1:13" s="1" customFormat="1" x14ac:dyDescent="0.2">
      <c r="A1492" s="111">
        <f>IF(F1492&lt;&gt;"",1+MAX($A$7:A1491),"")</f>
        <v>549</v>
      </c>
      <c r="B1492" s="2" t="s">
        <v>461</v>
      </c>
      <c r="C1492" s="2" t="s">
        <v>443</v>
      </c>
      <c r="D1492" s="41"/>
      <c r="E1492" s="56" t="s">
        <v>471</v>
      </c>
      <c r="F1492" s="17">
        <v>0.66700000000000004</v>
      </c>
      <c r="G1492" s="127">
        <v>0.1</v>
      </c>
      <c r="H1492" s="4">
        <f t="shared" ref="H1492:H1496" si="163">F1492*(1+G1492)</f>
        <v>0.73370000000000013</v>
      </c>
      <c r="I1492" s="26" t="s">
        <v>15</v>
      </c>
      <c r="J1492" s="335">
        <f t="shared" ref="J1492:J1496" si="164">J$1487</f>
        <v>0</v>
      </c>
      <c r="K1492" s="65">
        <f t="shared" ref="K1492:K1496" si="165">J1492*H1492</f>
        <v>0</v>
      </c>
      <c r="L1492" s="81"/>
      <c r="M1492" s="151"/>
    </row>
    <row r="1493" spans="1:13" s="1" customFormat="1" x14ac:dyDescent="0.2">
      <c r="A1493" s="111">
        <f>IF(F1493&lt;&gt;"",1+MAX($A$7:A1492),"")</f>
        <v>550</v>
      </c>
      <c r="B1493" s="2" t="s">
        <v>461</v>
      </c>
      <c r="C1493" s="2" t="s">
        <v>443</v>
      </c>
      <c r="D1493" s="41"/>
      <c r="E1493" s="56" t="s">
        <v>472</v>
      </c>
      <c r="F1493" s="17">
        <v>91.22</v>
      </c>
      <c r="G1493" s="127">
        <v>0.1</v>
      </c>
      <c r="H1493" s="4">
        <f t="shared" si="163"/>
        <v>100.34200000000001</v>
      </c>
      <c r="I1493" s="26" t="s">
        <v>15</v>
      </c>
      <c r="J1493" s="335">
        <f t="shared" si="164"/>
        <v>0</v>
      </c>
      <c r="K1493" s="65">
        <f t="shared" si="165"/>
        <v>0</v>
      </c>
      <c r="L1493" s="81"/>
      <c r="M1493" s="151"/>
    </row>
    <row r="1494" spans="1:13" s="1" customFormat="1" x14ac:dyDescent="0.2">
      <c r="A1494" s="111">
        <f>IF(F1494&lt;&gt;"",1+MAX($A$7:A1493),"")</f>
        <v>551</v>
      </c>
      <c r="B1494" s="2" t="s">
        <v>461</v>
      </c>
      <c r="C1494" s="2" t="s">
        <v>443</v>
      </c>
      <c r="D1494" s="41"/>
      <c r="E1494" s="56" t="s">
        <v>473</v>
      </c>
      <c r="F1494" s="17">
        <v>49.19</v>
      </c>
      <c r="G1494" s="127">
        <v>0.1</v>
      </c>
      <c r="H1494" s="4">
        <f t="shared" si="163"/>
        <v>54.109000000000002</v>
      </c>
      <c r="I1494" s="26" t="s">
        <v>15</v>
      </c>
      <c r="J1494" s="335">
        <f t="shared" si="164"/>
        <v>0</v>
      </c>
      <c r="K1494" s="65">
        <f t="shared" si="165"/>
        <v>0</v>
      </c>
      <c r="L1494" s="81"/>
      <c r="M1494" s="151"/>
    </row>
    <row r="1495" spans="1:13" s="1" customFormat="1" x14ac:dyDescent="0.2">
      <c r="A1495" s="111">
        <f>IF(F1495&lt;&gt;"",1+MAX($A$7:A1494),"")</f>
        <v>552</v>
      </c>
      <c r="B1495" s="2" t="s">
        <v>461</v>
      </c>
      <c r="C1495" s="2" t="s">
        <v>443</v>
      </c>
      <c r="D1495" s="41"/>
      <c r="E1495" s="56" t="s">
        <v>474</v>
      </c>
      <c r="F1495" s="17">
        <v>32.17</v>
      </c>
      <c r="G1495" s="127">
        <v>0.1</v>
      </c>
      <c r="H1495" s="4">
        <f t="shared" si="163"/>
        <v>35.387000000000008</v>
      </c>
      <c r="I1495" s="26" t="s">
        <v>15</v>
      </c>
      <c r="J1495" s="335">
        <f t="shared" si="164"/>
        <v>0</v>
      </c>
      <c r="K1495" s="65">
        <f t="shared" si="165"/>
        <v>0</v>
      </c>
      <c r="L1495" s="81"/>
      <c r="M1495" s="151"/>
    </row>
    <row r="1496" spans="1:13" s="1" customFormat="1" x14ac:dyDescent="0.2">
      <c r="A1496" s="111">
        <f>IF(F1496&lt;&gt;"",1+MAX($A$7:A1495),"")</f>
        <v>553</v>
      </c>
      <c r="B1496" s="2" t="s">
        <v>461</v>
      </c>
      <c r="C1496" s="2" t="s">
        <v>443</v>
      </c>
      <c r="D1496" s="41"/>
      <c r="E1496" s="56" t="s">
        <v>475</v>
      </c>
      <c r="F1496" s="17">
        <v>30.87</v>
      </c>
      <c r="G1496" s="127">
        <v>0.1</v>
      </c>
      <c r="H1496" s="4">
        <f t="shared" si="163"/>
        <v>33.957000000000001</v>
      </c>
      <c r="I1496" s="26" t="s">
        <v>15</v>
      </c>
      <c r="J1496" s="335">
        <f t="shared" si="164"/>
        <v>0</v>
      </c>
      <c r="K1496" s="65">
        <f t="shared" si="165"/>
        <v>0</v>
      </c>
      <c r="L1496" s="81"/>
      <c r="M1496" s="151"/>
    </row>
    <row r="1497" spans="1:13" s="1" customFormat="1" x14ac:dyDescent="0.2">
      <c r="A1497" s="111" t="str">
        <f>IF(F1497&lt;&gt;"",1+MAX($A$7:A1496),"")</f>
        <v/>
      </c>
      <c r="B1497" s="45"/>
      <c r="C1497" s="2"/>
      <c r="D1497" s="41"/>
      <c r="E1497" s="56"/>
      <c r="F1497" s="17"/>
      <c r="G1497" s="3"/>
      <c r="H1497" s="4"/>
      <c r="I1497" s="26"/>
      <c r="J1497" s="88"/>
      <c r="K1497" s="65"/>
      <c r="L1497" s="81"/>
      <c r="M1497" s="151"/>
    </row>
    <row r="1498" spans="1:13" s="1" customFormat="1" x14ac:dyDescent="0.2">
      <c r="A1498" s="111" t="str">
        <f>IF(F1498&lt;&gt;"",1+MAX($A$7:A1497),"")</f>
        <v/>
      </c>
      <c r="B1498" s="2"/>
      <c r="C1498" s="2"/>
      <c r="D1498" s="41"/>
      <c r="E1498" s="196" t="s">
        <v>67</v>
      </c>
      <c r="F1498" s="31"/>
      <c r="G1498" s="25"/>
      <c r="H1498" s="4"/>
      <c r="I1498" s="26"/>
      <c r="J1498" s="75"/>
      <c r="K1498" s="65"/>
      <c r="L1498" s="58"/>
      <c r="M1498" s="151"/>
    </row>
    <row r="1499" spans="1:13" s="1" customFormat="1" x14ac:dyDescent="0.2">
      <c r="A1499" s="111">
        <f>IF(F1499&lt;&gt;"",1+MAX($A$7:A1498),"")</f>
        <v>554</v>
      </c>
      <c r="B1499" s="2" t="s">
        <v>476</v>
      </c>
      <c r="C1499" s="2" t="s">
        <v>443</v>
      </c>
      <c r="D1499" s="41"/>
      <c r="E1499" s="56" t="s">
        <v>100</v>
      </c>
      <c r="F1499" s="17">
        <v>1040.55</v>
      </c>
      <c r="G1499" s="127">
        <v>0.1</v>
      </c>
      <c r="H1499" s="4">
        <f t="shared" ref="H1499" si="166">F1499*(1+G1499)</f>
        <v>1144.605</v>
      </c>
      <c r="I1499" s="26" t="s">
        <v>15</v>
      </c>
      <c r="J1499" s="130">
        <v>0</v>
      </c>
      <c r="K1499" s="65">
        <f t="shared" ref="K1499" si="167">J1499*H1499</f>
        <v>0</v>
      </c>
      <c r="L1499" s="81"/>
      <c r="M1499" s="151"/>
    </row>
    <row r="1500" spans="1:13" s="1" customFormat="1" x14ac:dyDescent="0.2">
      <c r="A1500" s="111" t="str">
        <f>IF(F1500&lt;&gt;"",1+MAX($A$7:A1499),"")</f>
        <v/>
      </c>
      <c r="B1500" s="45"/>
      <c r="C1500" s="2"/>
      <c r="D1500" s="41"/>
      <c r="E1500" s="56"/>
      <c r="F1500" s="17"/>
      <c r="G1500" s="3"/>
      <c r="H1500" s="4"/>
      <c r="I1500" s="26"/>
      <c r="J1500" s="88"/>
      <c r="K1500" s="65"/>
      <c r="L1500" s="81"/>
      <c r="M1500" s="151"/>
    </row>
    <row r="1501" spans="1:13" s="1" customFormat="1" x14ac:dyDescent="0.2">
      <c r="A1501" s="111" t="str">
        <f>IF(F1501&lt;&gt;"",1+MAX($A$7:A1500),"")</f>
        <v/>
      </c>
      <c r="B1501" s="2"/>
      <c r="C1501" s="2"/>
      <c r="D1501" s="41"/>
      <c r="E1501" s="196" t="s">
        <v>101</v>
      </c>
      <c r="F1501" s="31"/>
      <c r="G1501" s="25"/>
      <c r="H1501" s="4"/>
      <c r="I1501" s="26"/>
      <c r="J1501" s="75"/>
      <c r="K1501" s="65"/>
      <c r="L1501" s="58"/>
      <c r="M1501" s="151"/>
    </row>
    <row r="1502" spans="1:13" s="1" customFormat="1" ht="31.5" x14ac:dyDescent="0.2">
      <c r="A1502" s="111">
        <f>IF(F1502&lt;&gt;"",1+MAX($A$7:A1501),"")</f>
        <v>555</v>
      </c>
      <c r="B1502" s="2" t="s">
        <v>461</v>
      </c>
      <c r="C1502" s="2" t="s">
        <v>443</v>
      </c>
      <c r="D1502" s="41"/>
      <c r="E1502" s="56" t="s">
        <v>66</v>
      </c>
      <c r="F1502" s="17">
        <v>1105.56</v>
      </c>
      <c r="G1502" s="127">
        <v>0.1</v>
      </c>
      <c r="H1502" s="4">
        <f t="shared" ref="H1502:H1503" si="168">F1502*(1+G1502)</f>
        <v>1216.116</v>
      </c>
      <c r="I1502" s="26" t="s">
        <v>18</v>
      </c>
      <c r="J1502" s="335">
        <f>J$1479</f>
        <v>0</v>
      </c>
      <c r="K1502" s="65">
        <f t="shared" ref="K1502:K1503" si="169">J1502*H1502</f>
        <v>0</v>
      </c>
      <c r="L1502" s="81"/>
      <c r="M1502" s="151"/>
    </row>
    <row r="1503" spans="1:13" s="1" customFormat="1" x14ac:dyDescent="0.2">
      <c r="A1503" s="111">
        <f>IF(F1503&lt;&gt;"",1+MAX($A$7:A1502),"")</f>
        <v>556</v>
      </c>
      <c r="B1503" s="2" t="s">
        <v>461</v>
      </c>
      <c r="C1503" s="2" t="s">
        <v>443</v>
      </c>
      <c r="D1503" s="41"/>
      <c r="E1503" s="56" t="s">
        <v>477</v>
      </c>
      <c r="F1503" s="17">
        <v>21</v>
      </c>
      <c r="G1503" s="127">
        <v>0.1</v>
      </c>
      <c r="H1503" s="4">
        <f t="shared" si="168"/>
        <v>23.1</v>
      </c>
      <c r="I1503" s="26" t="s">
        <v>15</v>
      </c>
      <c r="J1503" s="88">
        <f>J$1499</f>
        <v>0</v>
      </c>
      <c r="K1503" s="65">
        <f t="shared" si="169"/>
        <v>0</v>
      </c>
      <c r="L1503" s="81"/>
      <c r="M1503" s="151"/>
    </row>
    <row r="1504" spans="1:13" s="1" customFormat="1" ht="16.5" thickBot="1" x14ac:dyDescent="0.25">
      <c r="A1504" s="111" t="str">
        <f>IF(F1504&lt;&gt;"",1+MAX($A$7:A1503),"")</f>
        <v/>
      </c>
      <c r="B1504" s="2"/>
      <c r="C1504" s="32"/>
      <c r="D1504" s="41"/>
      <c r="F1504" s="46"/>
      <c r="G1504" s="47"/>
      <c r="H1504" s="46"/>
      <c r="I1504" s="48"/>
      <c r="J1504" s="74"/>
      <c r="K1504" s="66"/>
      <c r="L1504" s="82"/>
      <c r="M1504" s="151"/>
    </row>
    <row r="1505" spans="1:13" s="1" customFormat="1" ht="16.5" thickBot="1" x14ac:dyDescent="0.25">
      <c r="A1505" s="111" t="str">
        <f>IF(F1505&lt;&gt;"",1+MAX($A$7:A1504),"")</f>
        <v/>
      </c>
      <c r="B1505" s="2"/>
      <c r="C1505" s="2"/>
      <c r="D1505" s="41"/>
      <c r="E1505" s="55" t="s">
        <v>28</v>
      </c>
      <c r="F1505" s="31"/>
      <c r="G1505" s="25"/>
      <c r="H1505" s="4"/>
      <c r="I1505" s="26"/>
      <c r="J1505" s="75"/>
      <c r="K1505" s="69"/>
      <c r="L1505" s="49">
        <f>SUM(K1478:K1504)</f>
        <v>0</v>
      </c>
      <c r="M1505" s="151"/>
    </row>
    <row r="1506" spans="1:13" s="1" customFormat="1" ht="16.5" thickBot="1" x14ac:dyDescent="0.25">
      <c r="A1506" s="111" t="str">
        <f>IF(F1506&lt;&gt;"",1+MAX($A$7:A1505),"")</f>
        <v/>
      </c>
      <c r="B1506" s="2"/>
      <c r="C1506" s="2"/>
      <c r="D1506" s="60"/>
      <c r="E1506" s="55"/>
      <c r="F1506" s="31"/>
      <c r="G1506" s="3"/>
      <c r="H1506" s="4"/>
      <c r="I1506" s="26"/>
      <c r="J1506" s="75"/>
      <c r="K1506" s="69"/>
      <c r="L1506" s="67"/>
      <c r="M1506" s="151"/>
    </row>
    <row r="1507" spans="1:13" ht="16.5" thickBot="1" x14ac:dyDescent="0.25">
      <c r="A1507" s="111" t="str">
        <f>IF(F1507&lt;&gt;"",1+MAX($A$7:A1506),"")</f>
        <v/>
      </c>
      <c r="B1507" s="62"/>
      <c r="C1507" s="35"/>
      <c r="D1507" s="52" t="s">
        <v>485</v>
      </c>
      <c r="E1507" s="53" t="s">
        <v>1824</v>
      </c>
      <c r="F1507" s="36"/>
      <c r="G1507" s="37"/>
      <c r="H1507" s="38"/>
      <c r="I1507" s="39"/>
      <c r="J1507" s="76"/>
      <c r="K1507" s="80"/>
      <c r="L1507" s="58"/>
      <c r="M1507" s="151"/>
    </row>
    <row r="1508" spans="1:13" ht="16.5" thickBot="1" x14ac:dyDescent="0.25">
      <c r="A1508" s="111" t="str">
        <f>IF(F1508&lt;&gt;"",1+MAX($A$7:A1507),"")</f>
        <v/>
      </c>
      <c r="B1508" s="42"/>
      <c r="C1508" s="44"/>
      <c r="D1508" s="57"/>
      <c r="E1508" s="54" t="s">
        <v>486</v>
      </c>
      <c r="F1508" s="78"/>
      <c r="G1508" s="43"/>
      <c r="H1508" s="43"/>
      <c r="I1508" s="43"/>
      <c r="J1508" s="73"/>
      <c r="K1508" s="68"/>
      <c r="L1508" s="58"/>
      <c r="M1508" s="8"/>
    </row>
    <row r="1509" spans="1:13" s="1" customFormat="1" ht="47.25" x14ac:dyDescent="0.2">
      <c r="A1509" s="111">
        <f>IF(F1509&lt;&gt;"",1+MAX($A$7:A1508),"")</f>
        <v>557</v>
      </c>
      <c r="B1509" s="2" t="s">
        <v>487</v>
      </c>
      <c r="C1509" s="2"/>
      <c r="D1509" s="41"/>
      <c r="E1509" s="50" t="s">
        <v>496</v>
      </c>
      <c r="F1509" s="31">
        <v>1</v>
      </c>
      <c r="G1509" s="3">
        <v>0</v>
      </c>
      <c r="H1509" s="4">
        <f t="shared" ref="H1509" si="170">F1509*(1+G1509)</f>
        <v>1</v>
      </c>
      <c r="I1509" s="26" t="s">
        <v>20</v>
      </c>
      <c r="J1509" s="804">
        <v>0</v>
      </c>
      <c r="K1509" s="65">
        <f t="shared" ref="K1509" si="171">J1509*H1509</f>
        <v>0</v>
      </c>
      <c r="L1509" s="81"/>
      <c r="M1509" s="151"/>
    </row>
    <row r="1510" spans="1:13" s="1" customFormat="1" ht="16.5" thickBot="1" x14ac:dyDescent="0.25">
      <c r="A1510" s="111" t="str">
        <f>IF(F1510&lt;&gt;"",1+MAX($A$7:A1509),"")</f>
        <v/>
      </c>
      <c r="B1510" s="2"/>
      <c r="C1510" s="2"/>
      <c r="D1510" s="41"/>
      <c r="E1510" s="55"/>
      <c r="F1510" s="46"/>
      <c r="G1510" s="47"/>
      <c r="H1510" s="46"/>
      <c r="I1510" s="48"/>
      <c r="J1510" s="74"/>
      <c r="K1510" s="66"/>
      <c r="L1510" s="58"/>
    </row>
    <row r="1511" spans="1:13" s="1" customFormat="1" ht="16.5" thickBot="1" x14ac:dyDescent="0.25">
      <c r="A1511" s="111" t="str">
        <f>IF(F1511&lt;&gt;"",1+MAX($A$7:A1510),"")</f>
        <v/>
      </c>
      <c r="B1511" s="2"/>
      <c r="C1511" s="2"/>
      <c r="D1511" s="41"/>
      <c r="E1511" s="55" t="s">
        <v>500</v>
      </c>
      <c r="F1511" s="31"/>
      <c r="G1511" s="25"/>
      <c r="H1511" s="4"/>
      <c r="I1511" s="26"/>
      <c r="J1511" s="75"/>
      <c r="K1511" s="69"/>
      <c r="L1511" s="59">
        <f>SUM(K1508:K1510)</f>
        <v>0</v>
      </c>
    </row>
    <row r="1512" spans="1:13" s="1" customFormat="1" ht="16.5" thickBot="1" x14ac:dyDescent="0.25">
      <c r="A1512" s="111" t="str">
        <f>IF(F1512&lt;&gt;"",1+MAX($A$7:A1511),"")</f>
        <v/>
      </c>
      <c r="B1512" s="801"/>
      <c r="C1512" s="2"/>
      <c r="D1512" s="805"/>
      <c r="E1512" s="802"/>
      <c r="F1512" s="31"/>
      <c r="G1512" s="25"/>
      <c r="H1512" s="209"/>
      <c r="I1512" s="5"/>
      <c r="J1512" s="803"/>
      <c r="K1512" s="131"/>
      <c r="L1512" s="81"/>
      <c r="M1512" s="151"/>
    </row>
    <row r="1513" spans="1:13" ht="16.5" thickBot="1" x14ac:dyDescent="0.25">
      <c r="A1513" s="111" t="str">
        <f>IF(F1513&lt;&gt;"",1+MAX($A$7:A1512),"")</f>
        <v/>
      </c>
      <c r="B1513" s="42"/>
      <c r="C1513" s="44"/>
      <c r="D1513" s="57"/>
      <c r="E1513" s="54" t="s">
        <v>1827</v>
      </c>
      <c r="F1513" s="334"/>
      <c r="G1513" s="43"/>
      <c r="H1513" s="43"/>
      <c r="I1513" s="43"/>
      <c r="J1513" s="73"/>
      <c r="K1513" s="68"/>
      <c r="L1513" s="58"/>
      <c r="M1513" s="8"/>
    </row>
    <row r="1514" spans="1:13" s="1" customFormat="1" ht="31.5" x14ac:dyDescent="0.2">
      <c r="A1514" s="111">
        <f>IF(F1514&lt;&gt;"",1+MAX($A$7:A1513),"")</f>
        <v>558</v>
      </c>
      <c r="B1514" s="2" t="s">
        <v>487</v>
      </c>
      <c r="C1514" s="2"/>
      <c r="D1514" s="41"/>
      <c r="E1514" s="50" t="s">
        <v>1825</v>
      </c>
      <c r="F1514" s="31">
        <v>2</v>
      </c>
      <c r="G1514" s="3">
        <v>0</v>
      </c>
      <c r="H1514" s="4">
        <f t="shared" ref="H1514" si="172">F1514*(1+G1514)</f>
        <v>2</v>
      </c>
      <c r="I1514" s="26" t="s">
        <v>20</v>
      </c>
      <c r="J1514" s="804">
        <v>0</v>
      </c>
      <c r="K1514" s="65">
        <f t="shared" ref="K1514" si="173">J1514*H1514</f>
        <v>0</v>
      </c>
      <c r="L1514" s="81"/>
      <c r="M1514" s="151"/>
    </row>
    <row r="1515" spans="1:13" s="1" customFormat="1" ht="16.5" thickBot="1" x14ac:dyDescent="0.25">
      <c r="A1515" s="111" t="str">
        <f>IF(F1515&lt;&gt;"",1+MAX($A$7:A1514),"")</f>
        <v/>
      </c>
      <c r="B1515" s="2"/>
      <c r="C1515" s="2"/>
      <c r="D1515" s="41"/>
      <c r="E1515" s="55"/>
      <c r="F1515" s="46"/>
      <c r="G1515" s="47"/>
      <c r="H1515" s="46"/>
      <c r="I1515" s="48"/>
      <c r="J1515" s="74"/>
      <c r="K1515" s="66"/>
      <c r="L1515" s="58"/>
    </row>
    <row r="1516" spans="1:13" s="1" customFormat="1" ht="16.5" thickBot="1" x14ac:dyDescent="0.25">
      <c r="A1516" s="111" t="str">
        <f>IF(F1516&lt;&gt;"",1+MAX($A$7:A1515),"")</f>
        <v/>
      </c>
      <c r="B1516" s="2"/>
      <c r="C1516" s="2"/>
      <c r="D1516" s="41"/>
      <c r="E1516" s="55" t="s">
        <v>1826</v>
      </c>
      <c r="F1516" s="31"/>
      <c r="G1516" s="25"/>
      <c r="H1516" s="4"/>
      <c r="I1516" s="26"/>
      <c r="J1516" s="75"/>
      <c r="K1516" s="69"/>
      <c r="L1516" s="59">
        <f>SUM(K1513:K1515)</f>
        <v>0</v>
      </c>
    </row>
    <row r="1517" spans="1:13" s="1" customFormat="1" x14ac:dyDescent="0.2">
      <c r="A1517" s="111" t="str">
        <f>IF(F1517&lt;&gt;"",1+MAX($A$7:A1516),"")</f>
        <v/>
      </c>
      <c r="B1517" s="2"/>
      <c r="C1517" s="2"/>
      <c r="D1517" s="60"/>
      <c r="E1517" s="55"/>
      <c r="F1517" s="31"/>
      <c r="G1517" s="3"/>
      <c r="H1517" s="4"/>
      <c r="I1517" s="26"/>
      <c r="J1517" s="75"/>
      <c r="K1517" s="69"/>
      <c r="L1517" s="58"/>
    </row>
    <row r="1518" spans="1:13" x14ac:dyDescent="0.2">
      <c r="A1518" s="111" t="str">
        <f>IF(F1518&lt;&gt;"",1+MAX($A$7:A1506),"")</f>
        <v/>
      </c>
      <c r="B1518" s="251"/>
      <c r="C1518" s="252"/>
      <c r="D1518" s="252"/>
      <c r="E1518" s="253"/>
      <c r="F1518" s="31"/>
      <c r="G1518" s="254"/>
      <c r="H1518" s="254"/>
      <c r="I1518" s="26"/>
      <c r="J1518" s="255"/>
      <c r="K1518" s="256"/>
      <c r="L1518" s="21"/>
    </row>
    <row r="1519" spans="1:13" ht="16.5" thickBot="1" x14ac:dyDescent="0.25">
      <c r="A1519" s="90" t="str">
        <f>IF(F1519&lt;&gt;"",1+MAX($A$6:A1506),"")</f>
        <v/>
      </c>
      <c r="B1519" s="244"/>
      <c r="C1519" s="245"/>
      <c r="D1519" s="245"/>
      <c r="E1519" s="246"/>
      <c r="F1519" s="247"/>
      <c r="G1519" s="248"/>
      <c r="H1519" s="248"/>
      <c r="I1519" s="225"/>
      <c r="J1519" s="249"/>
      <c r="K1519" s="250"/>
      <c r="L1519" s="21"/>
    </row>
    <row r="1520" spans="1:13" ht="16.5" thickBot="1" x14ac:dyDescent="0.25">
      <c r="A1520" s="647" t="s">
        <v>14</v>
      </c>
      <c r="B1520" s="648"/>
      <c r="C1520" s="649"/>
      <c r="D1520" s="649"/>
      <c r="E1520" s="650"/>
      <c r="F1520" s="651"/>
      <c r="G1520" s="652"/>
      <c r="H1520" s="652"/>
      <c r="I1520" s="653"/>
      <c r="J1520" s="89"/>
      <c r="K1520" s="654">
        <f>(SUM(K7:K1519))/1</f>
        <v>0</v>
      </c>
      <c r="L1520" s="98">
        <f>SUM(L7:L1519)</f>
        <v>0</v>
      </c>
    </row>
    <row r="1521" spans="1:14" ht="16.5" thickBot="1" x14ac:dyDescent="0.25">
      <c r="A1521" s="643" t="s">
        <v>3</v>
      </c>
      <c r="B1521" s="91"/>
      <c r="C1521" s="92"/>
      <c r="D1521" s="92"/>
      <c r="E1521" s="93"/>
      <c r="F1521" s="94"/>
      <c r="G1521" s="95"/>
      <c r="H1521" s="96"/>
      <c r="I1521" s="92"/>
      <c r="J1521" s="666"/>
      <c r="K1521" s="645"/>
      <c r="L1521" s="646">
        <f>SUM(L1520:L1520)</f>
        <v>0</v>
      </c>
    </row>
    <row r="1522" spans="1:14" s="1" customFormat="1" ht="16.5" thickBot="1" x14ac:dyDescent="0.25">
      <c r="A1522" s="655" t="str">
        <f>IF(F1522&lt;&gt;"",1+MAX(#REF!),"")</f>
        <v/>
      </c>
      <c r="B1522" s="656"/>
      <c r="C1522" s="657"/>
      <c r="D1522" s="656"/>
      <c r="E1522" s="658" t="s">
        <v>479</v>
      </c>
      <c r="F1522" s="659"/>
      <c r="G1522" s="660"/>
      <c r="H1522" s="661"/>
      <c r="I1522" s="662"/>
      <c r="J1522" s="663"/>
      <c r="K1522" s="664"/>
      <c r="L1522" s="665"/>
      <c r="M1522" s="151"/>
    </row>
    <row r="1523" spans="1:14" s="133" customFormat="1" ht="31.5" x14ac:dyDescent="0.2">
      <c r="A1523" s="332">
        <f>IF(F1523&lt;&gt;"",1+MAX($A$7:A1521),"")</f>
        <v>559</v>
      </c>
      <c r="B1523" s="32" t="s">
        <v>430</v>
      </c>
      <c r="C1523" s="329" t="s">
        <v>431</v>
      </c>
      <c r="D1523" s="144"/>
      <c r="E1523" s="125" t="s">
        <v>952</v>
      </c>
      <c r="F1523" s="126">
        <v>-15498</v>
      </c>
      <c r="G1523" s="127">
        <v>0.1</v>
      </c>
      <c r="H1523" s="234">
        <f t="shared" ref="H1523:H1525" si="174">F1523*(1+G1523)</f>
        <v>-17047.800000000003</v>
      </c>
      <c r="I1523" s="235" t="s">
        <v>18</v>
      </c>
      <c r="J1523" s="134">
        <f>J$1346</f>
        <v>0</v>
      </c>
      <c r="K1523" s="131">
        <f>J1523*H1523</f>
        <v>0</v>
      </c>
      <c r="L1523" s="132"/>
      <c r="M1523" s="153"/>
      <c r="N1523" s="145"/>
    </row>
    <row r="1524" spans="1:14" s="143" customFormat="1" ht="18.75" x14ac:dyDescent="0.2">
      <c r="A1524" s="333"/>
      <c r="B1524" s="2"/>
      <c r="C1524" s="123"/>
      <c r="D1524" s="146"/>
      <c r="E1524" s="138"/>
      <c r="F1524" s="139"/>
      <c r="G1524" s="127"/>
      <c r="H1524" s="140"/>
      <c r="I1524" s="141"/>
      <c r="J1524" s="134"/>
      <c r="K1524" s="142"/>
      <c r="L1524" s="132"/>
      <c r="M1524" s="154"/>
      <c r="N1524" s="147"/>
    </row>
    <row r="1525" spans="1:14" s="133" customFormat="1" ht="31.5" x14ac:dyDescent="0.2">
      <c r="A1525" s="111">
        <f>IF(F1525&lt;&gt;"",1+MAX($A$7:A1523),"")</f>
        <v>560</v>
      </c>
      <c r="B1525" s="2" t="s">
        <v>430</v>
      </c>
      <c r="C1525" s="329" t="s">
        <v>437</v>
      </c>
      <c r="D1525" s="124"/>
      <c r="E1525" s="125" t="s">
        <v>959</v>
      </c>
      <c r="F1525" s="126">
        <v>15498</v>
      </c>
      <c r="G1525" s="127">
        <v>0.1</v>
      </c>
      <c r="H1525" s="128">
        <f t="shared" si="174"/>
        <v>17047.800000000003</v>
      </c>
      <c r="I1525" s="129" t="s">
        <v>18</v>
      </c>
      <c r="J1525" s="134">
        <f>J$1341</f>
        <v>0</v>
      </c>
      <c r="K1525" s="131">
        <f>J1525*H1525</f>
        <v>0</v>
      </c>
      <c r="L1525" s="132"/>
      <c r="M1525" s="153"/>
      <c r="N1525" s="145"/>
    </row>
    <row r="1526" spans="1:14" s="1" customFormat="1" ht="63.75" thickBot="1" x14ac:dyDescent="0.25">
      <c r="A1526" s="111" t="str">
        <f>IF(F1526&lt;&gt;"",1+MAX($A$7:A1525),"")</f>
        <v/>
      </c>
      <c r="B1526" s="45"/>
      <c r="C1526" s="2"/>
      <c r="D1526" s="41"/>
      <c r="E1526" s="459" t="s">
        <v>958</v>
      </c>
      <c r="F1526" s="46"/>
      <c r="G1526" s="47"/>
      <c r="H1526" s="46"/>
      <c r="I1526" s="48"/>
      <c r="J1526" s="74"/>
      <c r="K1526" s="66"/>
      <c r="L1526" s="58"/>
      <c r="M1526" s="151"/>
    </row>
    <row r="1527" spans="1:14" s="1" customFormat="1" ht="16.5" thickBot="1" x14ac:dyDescent="0.25">
      <c r="A1527" s="111" t="str">
        <f>IF(F1527&lt;&gt;"",1+MAX($A$7:A1526),"")</f>
        <v/>
      </c>
      <c r="B1527" s="2"/>
      <c r="C1527" s="2"/>
      <c r="D1527" s="41"/>
      <c r="E1527" s="55" t="s">
        <v>480</v>
      </c>
      <c r="F1527" s="31"/>
      <c r="G1527" s="25"/>
      <c r="H1527" s="4"/>
      <c r="I1527" s="26"/>
      <c r="J1527" s="75"/>
      <c r="K1527" s="69"/>
      <c r="L1527" s="59">
        <f>SUM(K1522:K1526)</f>
        <v>0</v>
      </c>
      <c r="M1527" s="151"/>
    </row>
    <row r="1528" spans="1:14" s="143" customFormat="1" ht="19.5" thickBot="1" x14ac:dyDescent="0.25">
      <c r="A1528" s="586" t="str">
        <f>IF(F1528&lt;&gt;"",1+MAX($A$7:A1527),"")</f>
        <v/>
      </c>
      <c r="B1528" s="634"/>
      <c r="C1528" s="635"/>
      <c r="D1528" s="636"/>
      <c r="E1528" s="637"/>
      <c r="F1528" s="638"/>
      <c r="G1528" s="639"/>
      <c r="H1528" s="640"/>
      <c r="I1528" s="384"/>
      <c r="J1528" s="641"/>
      <c r="K1528" s="642"/>
      <c r="L1528" s="132"/>
      <c r="M1528" s="154"/>
      <c r="N1528" s="147"/>
    </row>
    <row r="1529" spans="1:14" ht="16.5" thickBot="1" x14ac:dyDescent="0.25">
      <c r="A1529" s="647" t="s">
        <v>14</v>
      </c>
      <c r="B1529" s="648"/>
      <c r="C1529" s="649"/>
      <c r="D1529" s="649"/>
      <c r="E1529" s="650"/>
      <c r="F1529" s="651"/>
      <c r="G1529" s="652"/>
      <c r="H1529" s="652"/>
      <c r="I1529" s="653"/>
      <c r="J1529" s="331"/>
      <c r="K1529" s="654">
        <f>(SUM(K1522:K1528))/1</f>
        <v>0</v>
      </c>
      <c r="L1529" s="97">
        <f>(SUM(L1522:L1528))/1</f>
        <v>0</v>
      </c>
    </row>
    <row r="1530" spans="1:14" ht="16.5" thickBot="1" x14ac:dyDescent="0.25">
      <c r="A1530" s="643" t="s">
        <v>478</v>
      </c>
      <c r="B1530" s="91"/>
      <c r="C1530" s="92"/>
      <c r="D1530" s="92"/>
      <c r="E1530" s="93"/>
      <c r="F1530" s="94"/>
      <c r="G1530" s="95"/>
      <c r="H1530" s="96"/>
      <c r="I1530" s="92"/>
      <c r="J1530" s="644"/>
      <c r="K1530" s="645"/>
      <c r="L1530" s="646">
        <f>SUM(L1529:L1529)</f>
        <v>0</v>
      </c>
    </row>
    <row r="1531" spans="1:14" x14ac:dyDescent="0.2">
      <c r="A1531" s="691" t="s">
        <v>1335</v>
      </c>
    </row>
    <row r="1532" spans="1:14" x14ac:dyDescent="0.2">
      <c r="A1532" s="691" t="s">
        <v>1336</v>
      </c>
    </row>
  </sheetData>
  <pageMargins left="0.25" right="0.25" top="0.75" bottom="0.75" header="0.3" footer="0.3"/>
  <pageSetup scale="74" fitToHeight="0" orientation="landscape" r:id="rId1"/>
  <ignoredErrors>
    <ignoredError sqref="H1519:H1520 H139 H1521 H150 H307:H3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76"/>
  <sheetViews>
    <sheetView showGridLines="0" view="pageBreakPreview" zoomScale="90" zoomScaleNormal="90" zoomScaleSheetLayoutView="90" workbookViewId="0">
      <pane ySplit="6" topLeftCell="A7" activePane="bottomLeft" state="frozen"/>
      <selection pane="bottomLeft" activeCell="A7" sqref="A7"/>
    </sheetView>
  </sheetViews>
  <sheetFormatPr defaultColWidth="9.6640625" defaultRowHeight="15.75" x14ac:dyDescent="0.2"/>
  <cols>
    <col min="1" max="1" width="5.6640625" style="320" customWidth="1"/>
    <col min="2" max="2" width="9.88671875" style="622" customWidth="1"/>
    <col min="3" max="3" width="13.33203125" style="622" customWidth="1"/>
    <col min="4" max="4" width="6.88671875" style="622" customWidth="1"/>
    <col min="5" max="5" width="46.21875" style="623" bestFit="1" customWidth="1"/>
    <col min="6" max="6" width="8.44140625" style="624" customWidth="1"/>
    <col min="7" max="7" width="8.109375" style="625" customWidth="1"/>
    <col min="8" max="8" width="11.33203125" style="625" customWidth="1"/>
    <col min="9" max="9" width="7.109375" style="622" customWidth="1"/>
    <col min="10" max="10" width="9.33203125" style="626" customWidth="1"/>
    <col min="11" max="11" width="11.44140625" style="627" customWidth="1"/>
    <col min="12" max="12" width="11.6640625" style="513" customWidth="1"/>
    <col min="13" max="14" width="10.77734375" style="595" bestFit="1" customWidth="1"/>
    <col min="15" max="16384" width="9.6640625" style="595"/>
  </cols>
  <sheetData>
    <row r="1" spans="1:14" s="506" customFormat="1" ht="16.5" thickBot="1" x14ac:dyDescent="0.25">
      <c r="A1" s="499" t="s">
        <v>7</v>
      </c>
      <c r="B1" s="500"/>
      <c r="C1" s="501"/>
      <c r="D1" s="501"/>
      <c r="E1" s="502"/>
      <c r="F1" s="503"/>
      <c r="G1" s="503"/>
      <c r="H1" s="503"/>
      <c r="I1" s="503"/>
      <c r="J1" s="504"/>
      <c r="K1" s="503"/>
      <c r="L1" s="505"/>
      <c r="M1" s="187"/>
      <c r="N1" s="187"/>
    </row>
    <row r="2" spans="1:14" s="187" customFormat="1" x14ac:dyDescent="0.2">
      <c r="A2" s="507" t="s">
        <v>8</v>
      </c>
      <c r="B2" s="508"/>
      <c r="C2" s="161"/>
      <c r="D2" s="161"/>
      <c r="E2" s="509"/>
      <c r="F2" s="510"/>
      <c r="G2" s="509"/>
      <c r="H2" s="509"/>
      <c r="I2" s="509"/>
      <c r="J2" s="509"/>
      <c r="K2" s="511"/>
      <c r="L2" s="512"/>
      <c r="M2" s="513"/>
    </row>
    <row r="3" spans="1:14" s="187" customFormat="1" x14ac:dyDescent="0.2">
      <c r="A3" s="514" t="s">
        <v>9</v>
      </c>
      <c r="B3" s="508"/>
      <c r="C3" s="168" t="s">
        <v>1018</v>
      </c>
      <c r="D3" s="168"/>
      <c r="E3" s="515"/>
      <c r="F3" s="516"/>
      <c r="G3" s="515"/>
      <c r="H3" s="515"/>
      <c r="I3" s="517"/>
      <c r="J3" s="517"/>
      <c r="K3" s="518"/>
      <c r="L3" s="519"/>
      <c r="M3" s="513"/>
    </row>
    <row r="4" spans="1:14" s="187" customFormat="1" x14ac:dyDescent="0.2">
      <c r="A4" s="514" t="s">
        <v>10</v>
      </c>
      <c r="B4" s="508"/>
      <c r="C4" s="168">
        <v>44866</v>
      </c>
      <c r="D4" s="168"/>
      <c r="E4" s="515"/>
      <c r="F4" s="520"/>
      <c r="G4" s="515"/>
      <c r="H4" s="515"/>
      <c r="I4" s="517"/>
      <c r="J4" s="517"/>
      <c r="K4" s="518"/>
      <c r="L4" s="519"/>
      <c r="M4" s="513"/>
    </row>
    <row r="5" spans="1:14" s="187" customFormat="1" ht="16.5" thickBot="1" x14ac:dyDescent="0.25">
      <c r="A5" s="521" t="s">
        <v>1019</v>
      </c>
      <c r="B5" s="522"/>
      <c r="C5" s="523">
        <f>K$575</f>
        <v>0</v>
      </c>
      <c r="D5" s="523"/>
      <c r="E5" s="524"/>
      <c r="F5" s="516"/>
      <c r="G5" s="515"/>
      <c r="H5" s="515"/>
      <c r="I5" s="517"/>
      <c r="J5" s="518"/>
      <c r="K5" s="525"/>
      <c r="L5" s="526"/>
      <c r="M5" s="513"/>
    </row>
    <row r="6" spans="1:14" s="527" customFormat="1" ht="37.5" customHeight="1" thickBot="1" x14ac:dyDescent="0.25">
      <c r="A6" s="856" t="s">
        <v>11</v>
      </c>
      <c r="B6" s="857" t="s">
        <v>16</v>
      </c>
      <c r="C6" s="857" t="s">
        <v>17</v>
      </c>
      <c r="D6" s="857" t="s">
        <v>19</v>
      </c>
      <c r="E6" s="857" t="s">
        <v>1</v>
      </c>
      <c r="F6" s="857" t="s">
        <v>263</v>
      </c>
      <c r="G6" s="857" t="s">
        <v>4</v>
      </c>
      <c r="H6" s="857" t="s">
        <v>5</v>
      </c>
      <c r="I6" s="857" t="s">
        <v>0</v>
      </c>
      <c r="J6" s="857" t="s">
        <v>2</v>
      </c>
      <c r="K6" s="858" t="s">
        <v>6</v>
      </c>
      <c r="L6" s="859" t="s">
        <v>12</v>
      </c>
      <c r="N6" s="528"/>
    </row>
    <row r="7" spans="1:14" s="121" customFormat="1" ht="16.5" thickBot="1" x14ac:dyDescent="0.25">
      <c r="A7" s="111"/>
      <c r="B7" s="529"/>
      <c r="C7" s="114"/>
      <c r="D7" s="530" t="s">
        <v>1020</v>
      </c>
      <c r="E7" s="531" t="s">
        <v>1021</v>
      </c>
      <c r="F7" s="532"/>
      <c r="G7" s="118"/>
      <c r="H7" s="118"/>
      <c r="I7" s="118"/>
      <c r="J7" s="71"/>
      <c r="K7" s="119"/>
      <c r="L7" s="206"/>
    </row>
    <row r="8" spans="1:14" s="187" customFormat="1" ht="16.5" thickBot="1" x14ac:dyDescent="0.25">
      <c r="A8" s="111" t="str">
        <f>IF(F8&lt;&gt;"",1+MAX($A$6:A7),"")</f>
        <v/>
      </c>
      <c r="B8" s="533"/>
      <c r="C8" s="534"/>
      <c r="D8" s="535"/>
      <c r="E8" s="536" t="s">
        <v>1022</v>
      </c>
      <c r="F8" s="537"/>
      <c r="G8" s="538"/>
      <c r="H8" s="539"/>
      <c r="I8" s="540"/>
      <c r="J8" s="540"/>
      <c r="K8" s="541"/>
      <c r="L8" s="120"/>
    </row>
    <row r="9" spans="1:14" s="187" customFormat="1" ht="16.5" thickBot="1" x14ac:dyDescent="0.25">
      <c r="A9" s="111" t="str">
        <f>IF(F9&lt;&gt;"",1+MAX($A$6:A8),"")</f>
        <v/>
      </c>
      <c r="B9" s="533"/>
      <c r="C9" s="542"/>
      <c r="D9" s="543"/>
      <c r="E9" s="544" t="s">
        <v>1023</v>
      </c>
      <c r="F9" s="545"/>
      <c r="G9" s="546"/>
      <c r="H9" s="547"/>
      <c r="I9" s="548"/>
      <c r="J9" s="226"/>
      <c r="K9" s="549"/>
      <c r="L9" s="120"/>
    </row>
    <row r="10" spans="1:14" s="187" customFormat="1" ht="78.75" x14ac:dyDescent="0.2">
      <c r="A10" s="111" t="str">
        <f>IF(F10&lt;&gt;"",1+MAX($A$6:A9),"")</f>
        <v/>
      </c>
      <c r="B10" s="533"/>
      <c r="C10" s="534"/>
      <c r="D10" s="550"/>
      <c r="E10" s="551" t="s">
        <v>1024</v>
      </c>
      <c r="F10" s="552"/>
      <c r="G10" s="127"/>
      <c r="H10" s="539"/>
      <c r="I10" s="540"/>
      <c r="J10" s="553"/>
      <c r="K10" s="554"/>
      <c r="L10" s="120"/>
    </row>
    <row r="11" spans="1:14" s="187" customFormat="1" x14ac:dyDescent="0.2">
      <c r="A11" s="111">
        <f>IF(F11&lt;&gt;"",1+MAX($A$6:A10),"")</f>
        <v>1</v>
      </c>
      <c r="B11" s="533" t="s">
        <v>1025</v>
      </c>
      <c r="C11" s="534" t="s">
        <v>1026</v>
      </c>
      <c r="D11" s="122"/>
      <c r="E11" s="555" t="s">
        <v>1027</v>
      </c>
      <c r="F11" s="552">
        <f>6*6*1.5/27</f>
        <v>2</v>
      </c>
      <c r="G11" s="127">
        <v>0.1</v>
      </c>
      <c r="H11" s="539">
        <f t="shared" ref="H11:H16" si="0">F11*(1+G11)</f>
        <v>2.2000000000000002</v>
      </c>
      <c r="I11" s="540" t="s">
        <v>1028</v>
      </c>
      <c r="J11" s="556">
        <v>0</v>
      </c>
      <c r="K11" s="554">
        <f t="shared" ref="K11:K16" si="1">J11*H11</f>
        <v>0</v>
      </c>
      <c r="L11" s="120"/>
      <c r="M11" s="557"/>
    </row>
    <row r="12" spans="1:14" s="187" customFormat="1" x14ac:dyDescent="0.2">
      <c r="A12" s="111">
        <f>IF(F12&lt;&gt;"",1+MAX($A$6:A11),"")</f>
        <v>2</v>
      </c>
      <c r="B12" s="533" t="s">
        <v>1025</v>
      </c>
      <c r="C12" s="534" t="s">
        <v>1026</v>
      </c>
      <c r="D12" s="122"/>
      <c r="E12" s="555" t="s">
        <v>1029</v>
      </c>
      <c r="F12" s="552">
        <f>4*6*1.5</f>
        <v>36</v>
      </c>
      <c r="G12" s="436">
        <v>0.1</v>
      </c>
      <c r="H12" s="539">
        <f t="shared" si="0"/>
        <v>39.6</v>
      </c>
      <c r="I12" s="540" t="s">
        <v>1030</v>
      </c>
      <c r="J12" s="556">
        <v>0</v>
      </c>
      <c r="K12" s="554">
        <f t="shared" si="1"/>
        <v>0</v>
      </c>
      <c r="L12" s="120"/>
      <c r="M12" s="558"/>
    </row>
    <row r="13" spans="1:14" s="187" customFormat="1" x14ac:dyDescent="0.2">
      <c r="A13" s="111">
        <f>IF(F13&lt;&gt;"",1+MAX($A$6:A12),"")</f>
        <v>3</v>
      </c>
      <c r="B13" s="533" t="s">
        <v>1025</v>
      </c>
      <c r="C13" s="534" t="s">
        <v>1026</v>
      </c>
      <c r="D13" s="122"/>
      <c r="E13" s="555" t="s">
        <v>1031</v>
      </c>
      <c r="F13" s="552">
        <f>7*7*1.5/27</f>
        <v>2.7222222222222223</v>
      </c>
      <c r="G13" s="436">
        <v>0.1</v>
      </c>
      <c r="H13" s="539">
        <f t="shared" si="0"/>
        <v>2.9944444444444449</v>
      </c>
      <c r="I13" s="540" t="s">
        <v>1028</v>
      </c>
      <c r="J13" s="556">
        <v>0</v>
      </c>
      <c r="K13" s="554">
        <f t="shared" si="1"/>
        <v>0</v>
      </c>
      <c r="L13" s="120"/>
      <c r="M13" s="558"/>
    </row>
    <row r="14" spans="1:14" s="187" customFormat="1" x14ac:dyDescent="0.2">
      <c r="A14" s="111">
        <f>IF(F14&lt;&gt;"",1+MAX($A$6:A13),"")</f>
        <v>4</v>
      </c>
      <c r="B14" s="533" t="s">
        <v>1025</v>
      </c>
      <c r="C14" s="534" t="s">
        <v>1026</v>
      </c>
      <c r="D14" s="122"/>
      <c r="E14" s="555" t="s">
        <v>1032</v>
      </c>
      <c r="F14" s="552">
        <f>F13-F11</f>
        <v>0.72222222222222232</v>
      </c>
      <c r="G14" s="436">
        <v>0.1</v>
      </c>
      <c r="H14" s="539">
        <f t="shared" si="0"/>
        <v>0.79444444444444462</v>
      </c>
      <c r="I14" s="540" t="s">
        <v>1028</v>
      </c>
      <c r="J14" s="556">
        <v>0</v>
      </c>
      <c r="K14" s="554">
        <f t="shared" si="1"/>
        <v>0</v>
      </c>
      <c r="L14" s="120"/>
      <c r="M14" s="558"/>
    </row>
    <row r="15" spans="1:14" s="187" customFormat="1" x14ac:dyDescent="0.2">
      <c r="A15" s="111">
        <f>IF(F15&lt;&gt;"",1+MAX($A$6:A14),"")</f>
        <v>5</v>
      </c>
      <c r="B15" s="533" t="s">
        <v>1025</v>
      </c>
      <c r="C15" s="534" t="s">
        <v>1026</v>
      </c>
      <c r="D15" s="122"/>
      <c r="E15" s="555" t="s">
        <v>1033</v>
      </c>
      <c r="F15" s="552">
        <f>6*6*0.668*1.2*2</f>
        <v>57.715200000000003</v>
      </c>
      <c r="G15" s="436">
        <v>0.1</v>
      </c>
      <c r="H15" s="539">
        <f t="shared" si="0"/>
        <v>63.486720000000005</v>
      </c>
      <c r="I15" s="540" t="s">
        <v>427</v>
      </c>
      <c r="J15" s="556">
        <v>0</v>
      </c>
      <c r="K15" s="554">
        <f t="shared" si="1"/>
        <v>0</v>
      </c>
      <c r="L15" s="120"/>
      <c r="M15" s="558"/>
    </row>
    <row r="16" spans="1:14" s="187" customFormat="1" x14ac:dyDescent="0.2">
      <c r="A16" s="111">
        <f>IF(F16&lt;&gt;"",1+MAX($A$6:A15),"")</f>
        <v>6</v>
      </c>
      <c r="B16" s="533" t="s">
        <v>1025</v>
      </c>
      <c r="C16" s="534" t="s">
        <v>1026</v>
      </c>
      <c r="D16" s="122"/>
      <c r="E16" s="555" t="s">
        <v>1034</v>
      </c>
      <c r="F16" s="552">
        <f>6*6*1.5*1.2*2</f>
        <v>129.6</v>
      </c>
      <c r="G16" s="436">
        <v>0.1</v>
      </c>
      <c r="H16" s="539">
        <f t="shared" si="0"/>
        <v>142.56</v>
      </c>
      <c r="I16" s="540" t="s">
        <v>427</v>
      </c>
      <c r="J16" s="553">
        <f>$J$15</f>
        <v>0</v>
      </c>
      <c r="K16" s="554">
        <f t="shared" si="1"/>
        <v>0</v>
      </c>
      <c r="L16" s="120"/>
      <c r="M16" s="558"/>
    </row>
    <row r="17" spans="1:13" s="187" customFormat="1" ht="78.75" x14ac:dyDescent="0.2">
      <c r="A17" s="111" t="str">
        <f>IF(F17&lt;&gt;"",1+MAX($A$6:A16),"")</f>
        <v/>
      </c>
      <c r="B17" s="533"/>
      <c r="C17" s="534"/>
      <c r="D17" s="550"/>
      <c r="E17" s="551" t="s">
        <v>1035</v>
      </c>
      <c r="F17" s="552"/>
      <c r="G17" s="127"/>
      <c r="H17" s="539"/>
      <c r="I17" s="540"/>
      <c r="J17" s="553"/>
      <c r="K17" s="554"/>
      <c r="L17" s="120"/>
    </row>
    <row r="18" spans="1:13" s="187" customFormat="1" x14ac:dyDescent="0.2">
      <c r="A18" s="111">
        <f>IF(F18&lt;&gt;"",1+MAX($A$6:A17),"")</f>
        <v>7</v>
      </c>
      <c r="B18" s="533" t="s">
        <v>1025</v>
      </c>
      <c r="C18" s="534" t="s">
        <v>1026</v>
      </c>
      <c r="D18" s="122"/>
      <c r="E18" s="555" t="s">
        <v>1027</v>
      </c>
      <c r="F18" s="552">
        <f>7*7*1.5*2/27</f>
        <v>5.4444444444444446</v>
      </c>
      <c r="G18" s="436">
        <v>0.1</v>
      </c>
      <c r="H18" s="539">
        <f t="shared" ref="H18:H23" si="2">F18*(1+G18)</f>
        <v>5.9888888888888898</v>
      </c>
      <c r="I18" s="540" t="s">
        <v>1028</v>
      </c>
      <c r="J18" s="553">
        <f>$J$11</f>
        <v>0</v>
      </c>
      <c r="K18" s="554">
        <f t="shared" ref="K18:K23" si="3">J18*H18</f>
        <v>0</v>
      </c>
      <c r="L18" s="120"/>
      <c r="M18" s="557"/>
    </row>
    <row r="19" spans="1:13" s="187" customFormat="1" x14ac:dyDescent="0.2">
      <c r="A19" s="111">
        <f>IF(F19&lt;&gt;"",1+MAX($A$6:A18),"")</f>
        <v>8</v>
      </c>
      <c r="B19" s="533" t="s">
        <v>1025</v>
      </c>
      <c r="C19" s="534" t="s">
        <v>1026</v>
      </c>
      <c r="D19" s="122"/>
      <c r="E19" s="555" t="s">
        <v>1029</v>
      </c>
      <c r="F19" s="552">
        <f>4*7*1.5*2</f>
        <v>84</v>
      </c>
      <c r="G19" s="436">
        <v>0.1</v>
      </c>
      <c r="H19" s="539">
        <f t="shared" si="2"/>
        <v>92.4</v>
      </c>
      <c r="I19" s="540" t="s">
        <v>1030</v>
      </c>
      <c r="J19" s="553">
        <f>$J$12</f>
        <v>0</v>
      </c>
      <c r="K19" s="554">
        <f t="shared" si="3"/>
        <v>0</v>
      </c>
      <c r="L19" s="120"/>
      <c r="M19" s="558"/>
    </row>
    <row r="20" spans="1:13" s="187" customFormat="1" x14ac:dyDescent="0.2">
      <c r="A20" s="111">
        <f>IF(F20&lt;&gt;"",1+MAX($A$6:A19),"")</f>
        <v>9</v>
      </c>
      <c r="B20" s="533" t="s">
        <v>1025</v>
      </c>
      <c r="C20" s="534" t="s">
        <v>1026</v>
      </c>
      <c r="D20" s="122"/>
      <c r="E20" s="555" t="s">
        <v>1031</v>
      </c>
      <c r="F20" s="552">
        <f>8*8*1.5*2/27</f>
        <v>7.1111111111111107</v>
      </c>
      <c r="G20" s="436">
        <v>0.1</v>
      </c>
      <c r="H20" s="539">
        <f t="shared" si="2"/>
        <v>7.8222222222222229</v>
      </c>
      <c r="I20" s="540" t="s">
        <v>1028</v>
      </c>
      <c r="J20" s="553">
        <f>$J$13</f>
        <v>0</v>
      </c>
      <c r="K20" s="554">
        <f t="shared" si="3"/>
        <v>0</v>
      </c>
      <c r="L20" s="120"/>
      <c r="M20" s="558"/>
    </row>
    <row r="21" spans="1:13" s="187" customFormat="1" x14ac:dyDescent="0.2">
      <c r="A21" s="111">
        <f>IF(F21&lt;&gt;"",1+MAX($A$6:A20),"")</f>
        <v>10</v>
      </c>
      <c r="B21" s="533" t="s">
        <v>1025</v>
      </c>
      <c r="C21" s="534" t="s">
        <v>1026</v>
      </c>
      <c r="D21" s="122"/>
      <c r="E21" s="555" t="s">
        <v>1032</v>
      </c>
      <c r="F21" s="552">
        <f>F20-F18</f>
        <v>1.6666666666666661</v>
      </c>
      <c r="G21" s="436">
        <v>0.1</v>
      </c>
      <c r="H21" s="539">
        <f t="shared" si="2"/>
        <v>1.8333333333333328</v>
      </c>
      <c r="I21" s="540" t="s">
        <v>1028</v>
      </c>
      <c r="J21" s="553">
        <f>$J$14</f>
        <v>0</v>
      </c>
      <c r="K21" s="554">
        <f t="shared" si="3"/>
        <v>0</v>
      </c>
      <c r="L21" s="120"/>
      <c r="M21" s="558"/>
    </row>
    <row r="22" spans="1:13" s="187" customFormat="1" x14ac:dyDescent="0.2">
      <c r="A22" s="111">
        <f>IF(F22&lt;&gt;"",1+MAX($A$6:A21),"")</f>
        <v>11</v>
      </c>
      <c r="B22" s="533" t="s">
        <v>1025</v>
      </c>
      <c r="C22" s="534" t="s">
        <v>1026</v>
      </c>
      <c r="D22" s="122"/>
      <c r="E22" s="555" t="s">
        <v>1033</v>
      </c>
      <c r="F22" s="552">
        <f>6*7*0.668*1.2*2*2</f>
        <v>134.6688</v>
      </c>
      <c r="G22" s="436">
        <v>0.1</v>
      </c>
      <c r="H22" s="539">
        <f t="shared" si="2"/>
        <v>148.13568000000001</v>
      </c>
      <c r="I22" s="540" t="s">
        <v>427</v>
      </c>
      <c r="J22" s="553">
        <f t="shared" ref="J22:J23" si="4">$J$15</f>
        <v>0</v>
      </c>
      <c r="K22" s="554">
        <f t="shared" si="3"/>
        <v>0</v>
      </c>
      <c r="L22" s="120"/>
      <c r="M22" s="558"/>
    </row>
    <row r="23" spans="1:13" s="187" customFormat="1" x14ac:dyDescent="0.2">
      <c r="A23" s="111">
        <f>IF(F23&lt;&gt;"",1+MAX($A$6:A22),"")</f>
        <v>12</v>
      </c>
      <c r="B23" s="533" t="s">
        <v>1025</v>
      </c>
      <c r="C23" s="534" t="s">
        <v>1026</v>
      </c>
      <c r="D23" s="122"/>
      <c r="E23" s="555" t="s">
        <v>1036</v>
      </c>
      <c r="F23" s="552">
        <f>6*7*2.044*1.2*2*2</f>
        <v>412.07040000000001</v>
      </c>
      <c r="G23" s="436">
        <v>0.1</v>
      </c>
      <c r="H23" s="539">
        <f t="shared" si="2"/>
        <v>453.27744000000007</v>
      </c>
      <c r="I23" s="540" t="s">
        <v>427</v>
      </c>
      <c r="J23" s="553">
        <f t="shared" si="4"/>
        <v>0</v>
      </c>
      <c r="K23" s="554">
        <f t="shared" si="3"/>
        <v>0</v>
      </c>
      <c r="L23" s="120"/>
      <c r="M23" s="558"/>
    </row>
    <row r="24" spans="1:13" s="187" customFormat="1" ht="78.75" x14ac:dyDescent="0.2">
      <c r="A24" s="111" t="str">
        <f>IF(F24&lt;&gt;"",1+MAX($A$6:A23),"")</f>
        <v/>
      </c>
      <c r="B24" s="533"/>
      <c r="C24" s="534"/>
      <c r="D24" s="550"/>
      <c r="E24" s="551" t="s">
        <v>1037</v>
      </c>
      <c r="F24" s="552"/>
      <c r="G24" s="127"/>
      <c r="H24" s="539"/>
      <c r="I24" s="540"/>
      <c r="J24" s="553"/>
      <c r="K24" s="554"/>
      <c r="L24" s="120"/>
    </row>
    <row r="25" spans="1:13" s="187" customFormat="1" x14ac:dyDescent="0.2">
      <c r="A25" s="111">
        <f>IF(F25&lt;&gt;"",1+MAX($A$6:A24),"")</f>
        <v>13</v>
      </c>
      <c r="B25" s="533" t="s">
        <v>1025</v>
      </c>
      <c r="C25" s="534" t="s">
        <v>1026</v>
      </c>
      <c r="D25" s="122"/>
      <c r="E25" s="555" t="s">
        <v>1027</v>
      </c>
      <c r="F25" s="552">
        <f>7*7*1.5*3/27</f>
        <v>8.1666666666666661</v>
      </c>
      <c r="G25" s="436">
        <v>0.1</v>
      </c>
      <c r="H25" s="539">
        <f t="shared" ref="H25:H30" si="5">F25*(1+G25)</f>
        <v>8.9833333333333343</v>
      </c>
      <c r="I25" s="540" t="s">
        <v>1028</v>
      </c>
      <c r="J25" s="553">
        <f>$J$11</f>
        <v>0</v>
      </c>
      <c r="K25" s="554">
        <f t="shared" ref="K25:K30" si="6">J25*H25</f>
        <v>0</v>
      </c>
      <c r="L25" s="120"/>
      <c r="M25" s="557"/>
    </row>
    <row r="26" spans="1:13" s="187" customFormat="1" x14ac:dyDescent="0.2">
      <c r="A26" s="111">
        <f>IF(F26&lt;&gt;"",1+MAX($A$6:A25),"")</f>
        <v>14</v>
      </c>
      <c r="B26" s="533" t="s">
        <v>1025</v>
      </c>
      <c r="C26" s="534" t="s">
        <v>1026</v>
      </c>
      <c r="D26" s="122"/>
      <c r="E26" s="555" t="s">
        <v>1029</v>
      </c>
      <c r="F26" s="552">
        <f>4*7*1.5*3</f>
        <v>126</v>
      </c>
      <c r="G26" s="436">
        <v>0.1</v>
      </c>
      <c r="H26" s="539">
        <f t="shared" si="5"/>
        <v>138.60000000000002</v>
      </c>
      <c r="I26" s="540" t="s">
        <v>1030</v>
      </c>
      <c r="J26" s="553">
        <f>$J$12</f>
        <v>0</v>
      </c>
      <c r="K26" s="554">
        <f t="shared" si="6"/>
        <v>0</v>
      </c>
      <c r="L26" s="120"/>
      <c r="M26" s="558"/>
    </row>
    <row r="27" spans="1:13" s="187" customFormat="1" x14ac:dyDescent="0.2">
      <c r="A27" s="111">
        <f>IF(F27&lt;&gt;"",1+MAX($A$6:A26),"")</f>
        <v>15</v>
      </c>
      <c r="B27" s="533" t="s">
        <v>1025</v>
      </c>
      <c r="C27" s="534" t="s">
        <v>1026</v>
      </c>
      <c r="D27" s="122"/>
      <c r="E27" s="555" t="s">
        <v>1031</v>
      </c>
      <c r="F27" s="552">
        <f>8*8*1.5*3/27</f>
        <v>10.666666666666666</v>
      </c>
      <c r="G27" s="436">
        <v>0.1</v>
      </c>
      <c r="H27" s="539">
        <f t="shared" si="5"/>
        <v>11.733333333333334</v>
      </c>
      <c r="I27" s="540" t="s">
        <v>1028</v>
      </c>
      <c r="J27" s="553">
        <f>$J$13</f>
        <v>0</v>
      </c>
      <c r="K27" s="554">
        <f t="shared" si="6"/>
        <v>0</v>
      </c>
      <c r="L27" s="120"/>
      <c r="M27" s="558"/>
    </row>
    <row r="28" spans="1:13" s="187" customFormat="1" x14ac:dyDescent="0.2">
      <c r="A28" s="111">
        <f>IF(F28&lt;&gt;"",1+MAX($A$6:A27),"")</f>
        <v>16</v>
      </c>
      <c r="B28" s="533" t="s">
        <v>1025</v>
      </c>
      <c r="C28" s="534" t="s">
        <v>1026</v>
      </c>
      <c r="D28" s="122"/>
      <c r="E28" s="555" t="s">
        <v>1032</v>
      </c>
      <c r="F28" s="552">
        <f>F27-F25</f>
        <v>2.5</v>
      </c>
      <c r="G28" s="436">
        <v>0.1</v>
      </c>
      <c r="H28" s="539">
        <f t="shared" si="5"/>
        <v>2.75</v>
      </c>
      <c r="I28" s="540" t="s">
        <v>1028</v>
      </c>
      <c r="J28" s="553">
        <f>$J$14</f>
        <v>0</v>
      </c>
      <c r="K28" s="554">
        <f t="shared" si="6"/>
        <v>0</v>
      </c>
      <c r="L28" s="120"/>
      <c r="M28" s="558"/>
    </row>
    <row r="29" spans="1:13" s="187" customFormat="1" x14ac:dyDescent="0.2">
      <c r="A29" s="111">
        <f>IF(F29&lt;&gt;"",1+MAX($A$6:A28),"")</f>
        <v>17</v>
      </c>
      <c r="B29" s="533" t="s">
        <v>1025</v>
      </c>
      <c r="C29" s="534" t="s">
        <v>1026</v>
      </c>
      <c r="D29" s="122"/>
      <c r="E29" s="555" t="s">
        <v>1033</v>
      </c>
      <c r="F29" s="552">
        <f>6*7*0.668*1.2*2*3</f>
        <v>202.00319999999999</v>
      </c>
      <c r="G29" s="436">
        <v>0.1</v>
      </c>
      <c r="H29" s="539">
        <f t="shared" si="5"/>
        <v>222.20352</v>
      </c>
      <c r="I29" s="540" t="s">
        <v>427</v>
      </c>
      <c r="J29" s="553">
        <f t="shared" ref="J29:J30" si="7">$J$15</f>
        <v>0</v>
      </c>
      <c r="K29" s="554">
        <f t="shared" si="6"/>
        <v>0</v>
      </c>
      <c r="L29" s="120"/>
      <c r="M29" s="558"/>
    </row>
    <row r="30" spans="1:13" s="187" customFormat="1" x14ac:dyDescent="0.2">
      <c r="A30" s="111">
        <f>IF(F30&lt;&gt;"",1+MAX($A$6:A29),"")</f>
        <v>18</v>
      </c>
      <c r="B30" s="533" t="s">
        <v>1025</v>
      </c>
      <c r="C30" s="534" t="s">
        <v>1026</v>
      </c>
      <c r="D30" s="122"/>
      <c r="E30" s="555" t="s">
        <v>1036</v>
      </c>
      <c r="F30" s="552">
        <f>6*7*2.044*1.2*2*3</f>
        <v>618.10559999999998</v>
      </c>
      <c r="G30" s="436">
        <v>0.1</v>
      </c>
      <c r="H30" s="539">
        <f t="shared" si="5"/>
        <v>679.91615999999999</v>
      </c>
      <c r="I30" s="540" t="s">
        <v>427</v>
      </c>
      <c r="J30" s="553">
        <f t="shared" si="7"/>
        <v>0</v>
      </c>
      <c r="K30" s="554">
        <f t="shared" si="6"/>
        <v>0</v>
      </c>
      <c r="L30" s="120"/>
      <c r="M30" s="558"/>
    </row>
    <row r="31" spans="1:13" s="187" customFormat="1" ht="78.75" x14ac:dyDescent="0.2">
      <c r="A31" s="111" t="str">
        <f>IF(F31&lt;&gt;"",1+MAX($A$6:A30),"")</f>
        <v/>
      </c>
      <c r="B31" s="533"/>
      <c r="C31" s="534"/>
      <c r="D31" s="550"/>
      <c r="E31" s="551" t="s">
        <v>1038</v>
      </c>
      <c r="F31" s="552"/>
      <c r="G31" s="127"/>
      <c r="H31" s="539"/>
      <c r="I31" s="540"/>
      <c r="J31" s="553"/>
      <c r="K31" s="554"/>
      <c r="L31" s="120"/>
    </row>
    <row r="32" spans="1:13" s="187" customFormat="1" x14ac:dyDescent="0.2">
      <c r="A32" s="111">
        <f>IF(F32&lt;&gt;"",1+MAX($A$6:A31),"")</f>
        <v>19</v>
      </c>
      <c r="B32" s="533" t="s">
        <v>1025</v>
      </c>
      <c r="C32" s="534" t="s">
        <v>1026</v>
      </c>
      <c r="D32" s="122"/>
      <c r="E32" s="555" t="s">
        <v>1027</v>
      </c>
      <c r="F32" s="552">
        <f>8*8*2/27</f>
        <v>4.7407407407407405</v>
      </c>
      <c r="G32" s="436">
        <v>0.1</v>
      </c>
      <c r="H32" s="539">
        <f t="shared" ref="H32:H37" si="8">F32*(1+G32)</f>
        <v>5.2148148148148152</v>
      </c>
      <c r="I32" s="540" t="s">
        <v>1028</v>
      </c>
      <c r="J32" s="553">
        <f>$J$11</f>
        <v>0</v>
      </c>
      <c r="K32" s="554">
        <f t="shared" ref="K32:K37" si="9">J32*H32</f>
        <v>0</v>
      </c>
      <c r="L32" s="120"/>
      <c r="M32" s="557"/>
    </row>
    <row r="33" spans="1:13" s="187" customFormat="1" x14ac:dyDescent="0.2">
      <c r="A33" s="111">
        <f>IF(F33&lt;&gt;"",1+MAX($A$6:A32),"")</f>
        <v>20</v>
      </c>
      <c r="B33" s="533" t="s">
        <v>1025</v>
      </c>
      <c r="C33" s="534" t="s">
        <v>1026</v>
      </c>
      <c r="D33" s="122"/>
      <c r="E33" s="555" t="s">
        <v>1029</v>
      </c>
      <c r="F33" s="552">
        <f>4*8*2</f>
        <v>64</v>
      </c>
      <c r="G33" s="436">
        <v>0.1</v>
      </c>
      <c r="H33" s="539">
        <f t="shared" si="8"/>
        <v>70.400000000000006</v>
      </c>
      <c r="I33" s="540" t="s">
        <v>1030</v>
      </c>
      <c r="J33" s="553">
        <f>$J$12</f>
        <v>0</v>
      </c>
      <c r="K33" s="554">
        <f t="shared" si="9"/>
        <v>0</v>
      </c>
      <c r="L33" s="120"/>
      <c r="M33" s="558"/>
    </row>
    <row r="34" spans="1:13" s="187" customFormat="1" x14ac:dyDescent="0.2">
      <c r="A34" s="111">
        <f>IF(F34&lt;&gt;"",1+MAX($A$6:A33),"")</f>
        <v>21</v>
      </c>
      <c r="B34" s="533" t="s">
        <v>1025</v>
      </c>
      <c r="C34" s="534" t="s">
        <v>1026</v>
      </c>
      <c r="D34" s="122"/>
      <c r="E34" s="555" t="s">
        <v>1031</v>
      </c>
      <c r="F34" s="552">
        <f>9*9*2/27</f>
        <v>6</v>
      </c>
      <c r="G34" s="436">
        <v>0.1</v>
      </c>
      <c r="H34" s="539">
        <f t="shared" si="8"/>
        <v>6.6000000000000005</v>
      </c>
      <c r="I34" s="540" t="s">
        <v>1028</v>
      </c>
      <c r="J34" s="553">
        <f>$J$13</f>
        <v>0</v>
      </c>
      <c r="K34" s="554">
        <f t="shared" si="9"/>
        <v>0</v>
      </c>
      <c r="L34" s="120"/>
      <c r="M34" s="558"/>
    </row>
    <row r="35" spans="1:13" s="187" customFormat="1" x14ac:dyDescent="0.2">
      <c r="A35" s="111">
        <f>IF(F35&lt;&gt;"",1+MAX($A$6:A34),"")</f>
        <v>22</v>
      </c>
      <c r="B35" s="533" t="s">
        <v>1025</v>
      </c>
      <c r="C35" s="534" t="s">
        <v>1026</v>
      </c>
      <c r="D35" s="122"/>
      <c r="E35" s="555" t="s">
        <v>1032</v>
      </c>
      <c r="F35" s="552">
        <f>F34-F32</f>
        <v>1.2592592592592595</v>
      </c>
      <c r="G35" s="436">
        <v>0.1</v>
      </c>
      <c r="H35" s="539">
        <f t="shared" si="8"/>
        <v>1.3851851851851855</v>
      </c>
      <c r="I35" s="540" t="s">
        <v>1028</v>
      </c>
      <c r="J35" s="553">
        <f>$J$14</f>
        <v>0</v>
      </c>
      <c r="K35" s="554">
        <f t="shared" si="9"/>
        <v>0</v>
      </c>
      <c r="L35" s="120"/>
      <c r="M35" s="558"/>
    </row>
    <row r="36" spans="1:13" s="187" customFormat="1" x14ac:dyDescent="0.2">
      <c r="A36" s="111">
        <f>IF(F36&lt;&gt;"",1+MAX($A$6:A35),"")</f>
        <v>23</v>
      </c>
      <c r="B36" s="533" t="s">
        <v>1025</v>
      </c>
      <c r="C36" s="534" t="s">
        <v>1026</v>
      </c>
      <c r="D36" s="122"/>
      <c r="E36" s="555" t="s">
        <v>1039</v>
      </c>
      <c r="F36" s="552">
        <f>7*8*0.668*1.2*2</f>
        <v>89.779200000000003</v>
      </c>
      <c r="G36" s="436">
        <v>0.1</v>
      </c>
      <c r="H36" s="539">
        <f t="shared" si="8"/>
        <v>98.757120000000015</v>
      </c>
      <c r="I36" s="540" t="s">
        <v>427</v>
      </c>
      <c r="J36" s="553">
        <f t="shared" ref="J36:J37" si="10">$J$15</f>
        <v>0</v>
      </c>
      <c r="K36" s="554">
        <f t="shared" si="9"/>
        <v>0</v>
      </c>
      <c r="L36" s="120"/>
      <c r="M36" s="558"/>
    </row>
    <row r="37" spans="1:13" s="187" customFormat="1" x14ac:dyDescent="0.2">
      <c r="A37" s="111">
        <f>IF(F37&lt;&gt;"",1+MAX($A$6:A36),"")</f>
        <v>24</v>
      </c>
      <c r="B37" s="533" t="s">
        <v>1025</v>
      </c>
      <c r="C37" s="534" t="s">
        <v>1026</v>
      </c>
      <c r="D37" s="122"/>
      <c r="E37" s="555" t="s">
        <v>1040</v>
      </c>
      <c r="F37" s="552">
        <f>7*8*2.67*1.2*2</f>
        <v>358.84799999999996</v>
      </c>
      <c r="G37" s="436">
        <v>0.1</v>
      </c>
      <c r="H37" s="539">
        <f t="shared" si="8"/>
        <v>394.7328</v>
      </c>
      <c r="I37" s="540" t="s">
        <v>427</v>
      </c>
      <c r="J37" s="553">
        <f t="shared" si="10"/>
        <v>0</v>
      </c>
      <c r="K37" s="554">
        <f t="shared" si="9"/>
        <v>0</v>
      </c>
      <c r="L37" s="120"/>
      <c r="M37" s="558"/>
    </row>
    <row r="38" spans="1:13" s="187" customFormat="1" ht="78.75" x14ac:dyDescent="0.2">
      <c r="A38" s="111" t="str">
        <f>IF(F38&lt;&gt;"",1+MAX($A$6:A37),"")</f>
        <v/>
      </c>
      <c r="B38" s="533"/>
      <c r="C38" s="534"/>
      <c r="D38" s="550"/>
      <c r="E38" s="551" t="s">
        <v>1041</v>
      </c>
      <c r="F38" s="552"/>
      <c r="G38" s="127"/>
      <c r="H38" s="539"/>
      <c r="I38" s="540"/>
      <c r="J38" s="553"/>
      <c r="K38" s="554"/>
      <c r="L38" s="120"/>
    </row>
    <row r="39" spans="1:13" s="187" customFormat="1" x14ac:dyDescent="0.2">
      <c r="A39" s="111">
        <f>IF(F39&lt;&gt;"",1+MAX($A$6:A38),"")</f>
        <v>25</v>
      </c>
      <c r="B39" s="533" t="s">
        <v>1025</v>
      </c>
      <c r="C39" s="534" t="s">
        <v>1026</v>
      </c>
      <c r="D39" s="122"/>
      <c r="E39" s="555" t="s">
        <v>1027</v>
      </c>
      <c r="F39" s="552">
        <f>9*9*2/27</f>
        <v>6</v>
      </c>
      <c r="G39" s="436">
        <v>0.1</v>
      </c>
      <c r="H39" s="539">
        <f t="shared" ref="H39:H44" si="11">F39*(1+G39)</f>
        <v>6.6000000000000005</v>
      </c>
      <c r="I39" s="540" t="s">
        <v>1028</v>
      </c>
      <c r="J39" s="553">
        <f>$J$11</f>
        <v>0</v>
      </c>
      <c r="K39" s="554">
        <f t="shared" ref="K39:K44" si="12">J39*H39</f>
        <v>0</v>
      </c>
      <c r="L39" s="120"/>
      <c r="M39" s="557"/>
    </row>
    <row r="40" spans="1:13" s="187" customFormat="1" x14ac:dyDescent="0.2">
      <c r="A40" s="111">
        <f>IF(F40&lt;&gt;"",1+MAX($A$6:A39),"")</f>
        <v>26</v>
      </c>
      <c r="B40" s="533" t="s">
        <v>1025</v>
      </c>
      <c r="C40" s="534" t="s">
        <v>1026</v>
      </c>
      <c r="D40" s="122"/>
      <c r="E40" s="555" t="s">
        <v>1029</v>
      </c>
      <c r="F40" s="552">
        <f>4*9*2</f>
        <v>72</v>
      </c>
      <c r="G40" s="436">
        <v>0.1</v>
      </c>
      <c r="H40" s="539">
        <f t="shared" si="11"/>
        <v>79.2</v>
      </c>
      <c r="I40" s="540" t="s">
        <v>1030</v>
      </c>
      <c r="J40" s="553">
        <f>$J$12</f>
        <v>0</v>
      </c>
      <c r="K40" s="554">
        <f t="shared" si="12"/>
        <v>0</v>
      </c>
      <c r="L40" s="120"/>
      <c r="M40" s="558"/>
    </row>
    <row r="41" spans="1:13" s="187" customFormat="1" x14ac:dyDescent="0.2">
      <c r="A41" s="111">
        <f>IF(F41&lt;&gt;"",1+MAX($A$6:A40),"")</f>
        <v>27</v>
      </c>
      <c r="B41" s="533" t="s">
        <v>1025</v>
      </c>
      <c r="C41" s="534" t="s">
        <v>1026</v>
      </c>
      <c r="D41" s="122"/>
      <c r="E41" s="555" t="s">
        <v>1031</v>
      </c>
      <c r="F41" s="552">
        <f>10*10*2/27</f>
        <v>7.4074074074074074</v>
      </c>
      <c r="G41" s="436">
        <v>0.1</v>
      </c>
      <c r="H41" s="539">
        <f t="shared" si="11"/>
        <v>8.1481481481481488</v>
      </c>
      <c r="I41" s="540" t="s">
        <v>1028</v>
      </c>
      <c r="J41" s="553">
        <f>$J$13</f>
        <v>0</v>
      </c>
      <c r="K41" s="554">
        <f t="shared" si="12"/>
        <v>0</v>
      </c>
      <c r="L41" s="120"/>
      <c r="M41" s="558"/>
    </row>
    <row r="42" spans="1:13" s="187" customFormat="1" x14ac:dyDescent="0.2">
      <c r="A42" s="111">
        <f>IF(F42&lt;&gt;"",1+MAX($A$6:A41),"")</f>
        <v>28</v>
      </c>
      <c r="B42" s="533" t="s">
        <v>1025</v>
      </c>
      <c r="C42" s="534" t="s">
        <v>1026</v>
      </c>
      <c r="D42" s="122"/>
      <c r="E42" s="555" t="s">
        <v>1032</v>
      </c>
      <c r="F42" s="552">
        <f>F41-F39</f>
        <v>1.4074074074074074</v>
      </c>
      <c r="G42" s="436">
        <v>0.1</v>
      </c>
      <c r="H42" s="539">
        <f t="shared" si="11"/>
        <v>1.5481481481481483</v>
      </c>
      <c r="I42" s="540" t="s">
        <v>1028</v>
      </c>
      <c r="J42" s="553">
        <f>$J$14</f>
        <v>0</v>
      </c>
      <c r="K42" s="554">
        <f t="shared" si="12"/>
        <v>0</v>
      </c>
      <c r="L42" s="120"/>
      <c r="M42" s="558"/>
    </row>
    <row r="43" spans="1:13" s="187" customFormat="1" x14ac:dyDescent="0.2">
      <c r="A43" s="111">
        <f>IF(F43&lt;&gt;"",1+MAX($A$6:A42),"")</f>
        <v>29</v>
      </c>
      <c r="B43" s="533" t="s">
        <v>1025</v>
      </c>
      <c r="C43" s="534" t="s">
        <v>1026</v>
      </c>
      <c r="D43" s="122"/>
      <c r="E43" s="555" t="s">
        <v>1039</v>
      </c>
      <c r="F43" s="552">
        <f>7*9*0.668*1.2*2</f>
        <v>101.00160000000001</v>
      </c>
      <c r="G43" s="436">
        <v>0.1</v>
      </c>
      <c r="H43" s="539">
        <f t="shared" si="11"/>
        <v>111.10176000000003</v>
      </c>
      <c r="I43" s="540" t="s">
        <v>427</v>
      </c>
      <c r="J43" s="553">
        <f t="shared" ref="J43:J44" si="13">$J$15</f>
        <v>0</v>
      </c>
      <c r="K43" s="554">
        <f t="shared" si="12"/>
        <v>0</v>
      </c>
      <c r="L43" s="120"/>
      <c r="M43" s="558"/>
    </row>
    <row r="44" spans="1:13" s="187" customFormat="1" x14ac:dyDescent="0.2">
      <c r="A44" s="111">
        <f>IF(F44&lt;&gt;"",1+MAX($A$6:A43),"")</f>
        <v>30</v>
      </c>
      <c r="B44" s="533" t="s">
        <v>1025</v>
      </c>
      <c r="C44" s="534" t="s">
        <v>1026</v>
      </c>
      <c r="D44" s="122"/>
      <c r="E44" s="555" t="s">
        <v>1042</v>
      </c>
      <c r="F44" s="552">
        <f>7*9*2.67*1.2*2</f>
        <v>403.70400000000001</v>
      </c>
      <c r="G44" s="436">
        <v>0.1</v>
      </c>
      <c r="H44" s="539">
        <f t="shared" si="11"/>
        <v>444.07440000000003</v>
      </c>
      <c r="I44" s="540" t="s">
        <v>427</v>
      </c>
      <c r="J44" s="553">
        <f t="shared" si="13"/>
        <v>0</v>
      </c>
      <c r="K44" s="554">
        <f t="shared" si="12"/>
        <v>0</v>
      </c>
      <c r="L44" s="120"/>
      <c r="M44" s="558"/>
    </row>
    <row r="45" spans="1:13" s="187" customFormat="1" ht="78.75" x14ac:dyDescent="0.2">
      <c r="A45" s="111" t="str">
        <f>IF(F45&lt;&gt;"",1+MAX($A$6:A44),"")</f>
        <v/>
      </c>
      <c r="B45" s="533"/>
      <c r="C45" s="534"/>
      <c r="D45" s="550"/>
      <c r="E45" s="551" t="s">
        <v>1043</v>
      </c>
      <c r="F45" s="552"/>
      <c r="G45" s="127"/>
      <c r="H45" s="539"/>
      <c r="I45" s="540"/>
      <c r="J45" s="553"/>
      <c r="K45" s="554"/>
      <c r="L45" s="120"/>
    </row>
    <row r="46" spans="1:13" s="187" customFormat="1" x14ac:dyDescent="0.2">
      <c r="A46" s="111">
        <f>IF(F46&lt;&gt;"",1+MAX($A$6:A45),"")</f>
        <v>31</v>
      </c>
      <c r="B46" s="533" t="s">
        <v>1025</v>
      </c>
      <c r="C46" s="534" t="s">
        <v>1026</v>
      </c>
      <c r="D46" s="122"/>
      <c r="E46" s="555" t="s">
        <v>1027</v>
      </c>
      <c r="F46" s="552">
        <f>9*9*2/27*6</f>
        <v>36</v>
      </c>
      <c r="G46" s="436">
        <v>0.1</v>
      </c>
      <c r="H46" s="539">
        <f t="shared" ref="H46:H51" si="14">F46*(1+G46)</f>
        <v>39.6</v>
      </c>
      <c r="I46" s="540" t="s">
        <v>1028</v>
      </c>
      <c r="J46" s="553">
        <f>$J$11</f>
        <v>0</v>
      </c>
      <c r="K46" s="554">
        <f t="shared" ref="K46:K51" si="15">J46*H46</f>
        <v>0</v>
      </c>
      <c r="L46" s="120"/>
      <c r="M46" s="557"/>
    </row>
    <row r="47" spans="1:13" s="187" customFormat="1" x14ac:dyDescent="0.2">
      <c r="A47" s="111">
        <f>IF(F47&lt;&gt;"",1+MAX($A$6:A46),"")</f>
        <v>32</v>
      </c>
      <c r="B47" s="533" t="s">
        <v>1025</v>
      </c>
      <c r="C47" s="534" t="s">
        <v>1026</v>
      </c>
      <c r="D47" s="122"/>
      <c r="E47" s="555" t="s">
        <v>1029</v>
      </c>
      <c r="F47" s="552">
        <f>4*9*2*6</f>
        <v>432</v>
      </c>
      <c r="G47" s="436">
        <v>0.1</v>
      </c>
      <c r="H47" s="539">
        <f t="shared" si="14"/>
        <v>475.20000000000005</v>
      </c>
      <c r="I47" s="540" t="s">
        <v>1030</v>
      </c>
      <c r="J47" s="553">
        <f>$J$12</f>
        <v>0</v>
      </c>
      <c r="K47" s="554">
        <f t="shared" si="15"/>
        <v>0</v>
      </c>
      <c r="L47" s="120"/>
      <c r="M47" s="558"/>
    </row>
    <row r="48" spans="1:13" s="187" customFormat="1" x14ac:dyDescent="0.2">
      <c r="A48" s="111">
        <f>IF(F48&lt;&gt;"",1+MAX($A$6:A47),"")</f>
        <v>33</v>
      </c>
      <c r="B48" s="533" t="s">
        <v>1025</v>
      </c>
      <c r="C48" s="534" t="s">
        <v>1026</v>
      </c>
      <c r="D48" s="122"/>
      <c r="E48" s="555" t="s">
        <v>1031</v>
      </c>
      <c r="F48" s="552">
        <f>10*10*2/27*6</f>
        <v>44.444444444444443</v>
      </c>
      <c r="G48" s="436">
        <v>0.1</v>
      </c>
      <c r="H48" s="539">
        <f t="shared" si="14"/>
        <v>48.888888888888893</v>
      </c>
      <c r="I48" s="540" t="s">
        <v>1028</v>
      </c>
      <c r="J48" s="553">
        <f>$J$13</f>
        <v>0</v>
      </c>
      <c r="K48" s="554">
        <f t="shared" si="15"/>
        <v>0</v>
      </c>
      <c r="L48" s="120"/>
      <c r="M48" s="558"/>
    </row>
    <row r="49" spans="1:13" s="187" customFormat="1" x14ac:dyDescent="0.2">
      <c r="A49" s="111">
        <f>IF(F49&lt;&gt;"",1+MAX($A$6:A48),"")</f>
        <v>34</v>
      </c>
      <c r="B49" s="533" t="s">
        <v>1025</v>
      </c>
      <c r="C49" s="534" t="s">
        <v>1026</v>
      </c>
      <c r="D49" s="122"/>
      <c r="E49" s="555" t="s">
        <v>1032</v>
      </c>
      <c r="F49" s="552">
        <f>F48-F46</f>
        <v>8.4444444444444429</v>
      </c>
      <c r="G49" s="436">
        <v>0.1</v>
      </c>
      <c r="H49" s="539">
        <f t="shared" si="14"/>
        <v>9.2888888888888879</v>
      </c>
      <c r="I49" s="540" t="s">
        <v>1028</v>
      </c>
      <c r="J49" s="553">
        <f>$J$14</f>
        <v>0</v>
      </c>
      <c r="K49" s="554">
        <f t="shared" si="15"/>
        <v>0</v>
      </c>
      <c r="L49" s="120"/>
      <c r="M49" s="558"/>
    </row>
    <row r="50" spans="1:13" s="187" customFormat="1" x14ac:dyDescent="0.2">
      <c r="A50" s="111">
        <f>IF(F50&lt;&gt;"",1+MAX($A$6:A49),"")</f>
        <v>35</v>
      </c>
      <c r="B50" s="533" t="s">
        <v>1025</v>
      </c>
      <c r="C50" s="534" t="s">
        <v>1026</v>
      </c>
      <c r="D50" s="122"/>
      <c r="E50" s="555" t="s">
        <v>1039</v>
      </c>
      <c r="F50" s="552">
        <f>7*9*0.668*1.2*2*6</f>
        <v>606.00960000000009</v>
      </c>
      <c r="G50" s="436">
        <v>0.1</v>
      </c>
      <c r="H50" s="539">
        <f t="shared" si="14"/>
        <v>666.61056000000019</v>
      </c>
      <c r="I50" s="540" t="s">
        <v>427</v>
      </c>
      <c r="J50" s="553">
        <f t="shared" ref="J50:J51" si="16">$J$15</f>
        <v>0</v>
      </c>
      <c r="K50" s="554">
        <f t="shared" si="15"/>
        <v>0</v>
      </c>
      <c r="L50" s="120"/>
      <c r="M50" s="558"/>
    </row>
    <row r="51" spans="1:13" s="187" customFormat="1" x14ac:dyDescent="0.2">
      <c r="A51" s="111">
        <f>IF(F51&lt;&gt;"",1+MAX($A$6:A50),"")</f>
        <v>36</v>
      </c>
      <c r="B51" s="533" t="s">
        <v>1025</v>
      </c>
      <c r="C51" s="534" t="s">
        <v>1026</v>
      </c>
      <c r="D51" s="122"/>
      <c r="E51" s="555" t="s">
        <v>1042</v>
      </c>
      <c r="F51" s="552">
        <f>7*9*2.67*1.2*2*6</f>
        <v>2422.2240000000002</v>
      </c>
      <c r="G51" s="436">
        <v>0.1</v>
      </c>
      <c r="H51" s="539">
        <f t="shared" si="14"/>
        <v>2664.4464000000003</v>
      </c>
      <c r="I51" s="540" t="s">
        <v>427</v>
      </c>
      <c r="J51" s="553">
        <f t="shared" si="16"/>
        <v>0</v>
      </c>
      <c r="K51" s="554">
        <f t="shared" si="15"/>
        <v>0</v>
      </c>
      <c r="L51" s="120"/>
      <c r="M51" s="558"/>
    </row>
    <row r="52" spans="1:13" s="187" customFormat="1" ht="78.75" x14ac:dyDescent="0.2">
      <c r="A52" s="111" t="str">
        <f>IF(F52&lt;&gt;"",1+MAX($A$6:A51),"")</f>
        <v/>
      </c>
      <c r="B52" s="533"/>
      <c r="C52" s="534"/>
      <c r="D52" s="550"/>
      <c r="E52" s="551" t="s">
        <v>1044</v>
      </c>
      <c r="F52" s="552"/>
      <c r="G52" s="127"/>
      <c r="H52" s="539"/>
      <c r="I52" s="540"/>
      <c r="J52" s="553"/>
      <c r="K52" s="554"/>
      <c r="L52" s="120"/>
    </row>
    <row r="53" spans="1:13" s="187" customFormat="1" x14ac:dyDescent="0.2">
      <c r="A53" s="111">
        <f>IF(F53&lt;&gt;"",1+MAX($A$6:A52),"")</f>
        <v>37</v>
      </c>
      <c r="B53" s="533" t="s">
        <v>1025</v>
      </c>
      <c r="C53" s="534" t="s">
        <v>1026</v>
      </c>
      <c r="D53" s="122"/>
      <c r="E53" s="555" t="s">
        <v>1027</v>
      </c>
      <c r="F53" s="552">
        <f>10*10*2*13/27</f>
        <v>96.296296296296291</v>
      </c>
      <c r="G53" s="436">
        <v>0.1</v>
      </c>
      <c r="H53" s="539">
        <f t="shared" ref="H53:H58" si="17">F53*(1+G53)</f>
        <v>105.92592592592592</v>
      </c>
      <c r="I53" s="540" t="s">
        <v>1028</v>
      </c>
      <c r="J53" s="553">
        <f>$J$11</f>
        <v>0</v>
      </c>
      <c r="K53" s="554">
        <f t="shared" ref="K53:K58" si="18">J53*H53</f>
        <v>0</v>
      </c>
      <c r="L53" s="120"/>
      <c r="M53" s="557"/>
    </row>
    <row r="54" spans="1:13" s="187" customFormat="1" x14ac:dyDescent="0.2">
      <c r="A54" s="111">
        <f>IF(F54&lt;&gt;"",1+MAX($A$6:A53),"")</f>
        <v>38</v>
      </c>
      <c r="B54" s="533" t="s">
        <v>1025</v>
      </c>
      <c r="C54" s="534" t="s">
        <v>1026</v>
      </c>
      <c r="D54" s="122"/>
      <c r="E54" s="555" t="s">
        <v>1029</v>
      </c>
      <c r="F54" s="552">
        <f>4*10*2*13</f>
        <v>1040</v>
      </c>
      <c r="G54" s="436">
        <v>0.1</v>
      </c>
      <c r="H54" s="539">
        <f t="shared" si="17"/>
        <v>1144</v>
      </c>
      <c r="I54" s="540" t="s">
        <v>1030</v>
      </c>
      <c r="J54" s="553">
        <f>$J$12</f>
        <v>0</v>
      </c>
      <c r="K54" s="554">
        <f t="shared" si="18"/>
        <v>0</v>
      </c>
      <c r="L54" s="120"/>
      <c r="M54" s="558"/>
    </row>
    <row r="55" spans="1:13" s="187" customFormat="1" x14ac:dyDescent="0.2">
      <c r="A55" s="111">
        <f>IF(F55&lt;&gt;"",1+MAX($A$6:A54),"")</f>
        <v>39</v>
      </c>
      <c r="B55" s="533" t="s">
        <v>1025</v>
      </c>
      <c r="C55" s="534" t="s">
        <v>1026</v>
      </c>
      <c r="D55" s="122"/>
      <c r="E55" s="555" t="s">
        <v>1031</v>
      </c>
      <c r="F55" s="552">
        <f>11*11*2*13/27</f>
        <v>116.51851851851852</v>
      </c>
      <c r="G55" s="436">
        <v>0.1</v>
      </c>
      <c r="H55" s="539">
        <f t="shared" si="17"/>
        <v>128.17037037037039</v>
      </c>
      <c r="I55" s="540" t="s">
        <v>1028</v>
      </c>
      <c r="J55" s="553">
        <f>$J$13</f>
        <v>0</v>
      </c>
      <c r="K55" s="554">
        <f t="shared" si="18"/>
        <v>0</v>
      </c>
      <c r="L55" s="120"/>
      <c r="M55" s="558"/>
    </row>
    <row r="56" spans="1:13" s="187" customFormat="1" x14ac:dyDescent="0.2">
      <c r="A56" s="111">
        <f>IF(F56&lt;&gt;"",1+MAX($A$6:A55),"")</f>
        <v>40</v>
      </c>
      <c r="B56" s="533" t="s">
        <v>1025</v>
      </c>
      <c r="C56" s="534" t="s">
        <v>1026</v>
      </c>
      <c r="D56" s="122"/>
      <c r="E56" s="555" t="s">
        <v>1032</v>
      </c>
      <c r="F56" s="552">
        <f>F55-F53</f>
        <v>20.222222222222229</v>
      </c>
      <c r="G56" s="436">
        <v>0.1</v>
      </c>
      <c r="H56" s="539">
        <f t="shared" si="17"/>
        <v>22.244444444444454</v>
      </c>
      <c r="I56" s="540" t="s">
        <v>1028</v>
      </c>
      <c r="J56" s="553">
        <f>$J$14</f>
        <v>0</v>
      </c>
      <c r="K56" s="554">
        <f t="shared" si="18"/>
        <v>0</v>
      </c>
      <c r="L56" s="120"/>
      <c r="M56" s="558"/>
    </row>
    <row r="57" spans="1:13" s="187" customFormat="1" x14ac:dyDescent="0.2">
      <c r="A57" s="111">
        <f>IF(F57&lt;&gt;"",1+MAX($A$6:A56),"")</f>
        <v>41</v>
      </c>
      <c r="B57" s="533" t="s">
        <v>1025</v>
      </c>
      <c r="C57" s="534" t="s">
        <v>1026</v>
      </c>
      <c r="D57" s="122"/>
      <c r="E57" s="555" t="s">
        <v>1045</v>
      </c>
      <c r="F57" s="552">
        <f>9*10*0.668*1.2*2*13</f>
        <v>1875.7440000000001</v>
      </c>
      <c r="G57" s="436">
        <v>0.1</v>
      </c>
      <c r="H57" s="539">
        <f t="shared" si="17"/>
        <v>2063.3184000000001</v>
      </c>
      <c r="I57" s="540" t="s">
        <v>427</v>
      </c>
      <c r="J57" s="553">
        <f t="shared" ref="J57:J58" si="19">$J$15</f>
        <v>0</v>
      </c>
      <c r="K57" s="554">
        <f t="shared" si="18"/>
        <v>0</v>
      </c>
      <c r="L57" s="120"/>
      <c r="M57" s="558"/>
    </row>
    <row r="58" spans="1:13" s="187" customFormat="1" x14ac:dyDescent="0.2">
      <c r="A58" s="111">
        <f>IF(F58&lt;&gt;"",1+MAX($A$6:A57),"")</f>
        <v>42</v>
      </c>
      <c r="B58" s="533" t="s">
        <v>1025</v>
      </c>
      <c r="C58" s="534" t="s">
        <v>1026</v>
      </c>
      <c r="D58" s="122"/>
      <c r="E58" s="555" t="s">
        <v>1046</v>
      </c>
      <c r="F58" s="552">
        <f>9*10*2.67*1.2*2*13</f>
        <v>7497.3599999999988</v>
      </c>
      <c r="G58" s="436">
        <v>0.1</v>
      </c>
      <c r="H58" s="539">
        <f t="shared" si="17"/>
        <v>8247.0959999999995</v>
      </c>
      <c r="I58" s="540" t="s">
        <v>427</v>
      </c>
      <c r="J58" s="553">
        <f t="shared" si="19"/>
        <v>0</v>
      </c>
      <c r="K58" s="554">
        <f t="shared" si="18"/>
        <v>0</v>
      </c>
      <c r="L58" s="120"/>
      <c r="M58" s="558"/>
    </row>
    <row r="59" spans="1:13" s="187" customFormat="1" ht="78.75" x14ac:dyDescent="0.2">
      <c r="A59" s="111" t="str">
        <f>IF(F59&lt;&gt;"",1+MAX($A$6:A58),"")</f>
        <v/>
      </c>
      <c r="B59" s="533"/>
      <c r="C59" s="534"/>
      <c r="D59" s="550"/>
      <c r="E59" s="551" t="s">
        <v>1047</v>
      </c>
      <c r="F59" s="552"/>
      <c r="G59" s="127"/>
      <c r="H59" s="539"/>
      <c r="I59" s="540"/>
      <c r="J59" s="553"/>
      <c r="K59" s="554"/>
      <c r="L59" s="120"/>
    </row>
    <row r="60" spans="1:13" s="187" customFormat="1" x14ac:dyDescent="0.2">
      <c r="A60" s="111">
        <f>IF(F60&lt;&gt;"",1+MAX($A$6:A59),"")</f>
        <v>43</v>
      </c>
      <c r="B60" s="533" t="s">
        <v>1025</v>
      </c>
      <c r="C60" s="534" t="s">
        <v>1026</v>
      </c>
      <c r="D60" s="122"/>
      <c r="E60" s="555" t="s">
        <v>1027</v>
      </c>
      <c r="F60" s="552">
        <f>11*11*2*4/27</f>
        <v>35.851851851851855</v>
      </c>
      <c r="G60" s="436">
        <v>0.1</v>
      </c>
      <c r="H60" s="539">
        <f t="shared" ref="H60:H335" si="20">F60*(1+G60)</f>
        <v>39.437037037037044</v>
      </c>
      <c r="I60" s="540" t="s">
        <v>1028</v>
      </c>
      <c r="J60" s="553">
        <f>$J$11</f>
        <v>0</v>
      </c>
      <c r="K60" s="554">
        <f t="shared" ref="K60:K335" si="21">J60*H60</f>
        <v>0</v>
      </c>
      <c r="L60" s="120"/>
      <c r="M60" s="557"/>
    </row>
    <row r="61" spans="1:13" s="187" customFormat="1" x14ac:dyDescent="0.2">
      <c r="A61" s="111">
        <f>IF(F61&lt;&gt;"",1+MAX($A$6:A60),"")</f>
        <v>44</v>
      </c>
      <c r="B61" s="533" t="s">
        <v>1025</v>
      </c>
      <c r="C61" s="534" t="s">
        <v>1026</v>
      </c>
      <c r="D61" s="122"/>
      <c r="E61" s="555" t="s">
        <v>1029</v>
      </c>
      <c r="F61" s="552">
        <f>4*11*2*4</f>
        <v>352</v>
      </c>
      <c r="G61" s="436">
        <v>0.1</v>
      </c>
      <c r="H61" s="539">
        <f t="shared" si="20"/>
        <v>387.20000000000005</v>
      </c>
      <c r="I61" s="540" t="s">
        <v>1030</v>
      </c>
      <c r="J61" s="553">
        <f>$J$12</f>
        <v>0</v>
      </c>
      <c r="K61" s="554">
        <f t="shared" si="21"/>
        <v>0</v>
      </c>
      <c r="L61" s="120"/>
      <c r="M61" s="558"/>
    </row>
    <row r="62" spans="1:13" s="187" customFormat="1" x14ac:dyDescent="0.2">
      <c r="A62" s="111">
        <f>IF(F62&lt;&gt;"",1+MAX($A$6:A61),"")</f>
        <v>45</v>
      </c>
      <c r="B62" s="533" t="s">
        <v>1025</v>
      </c>
      <c r="C62" s="534" t="s">
        <v>1026</v>
      </c>
      <c r="D62" s="122"/>
      <c r="E62" s="555" t="s">
        <v>1031</v>
      </c>
      <c r="F62" s="552">
        <f>12*12*2*4/27</f>
        <v>42.666666666666664</v>
      </c>
      <c r="G62" s="436">
        <v>0.1</v>
      </c>
      <c r="H62" s="539">
        <f t="shared" si="20"/>
        <v>46.933333333333337</v>
      </c>
      <c r="I62" s="540" t="s">
        <v>1028</v>
      </c>
      <c r="J62" s="553">
        <f>$J$13</f>
        <v>0</v>
      </c>
      <c r="K62" s="554">
        <f t="shared" si="21"/>
        <v>0</v>
      </c>
      <c r="L62" s="120"/>
      <c r="M62" s="558"/>
    </row>
    <row r="63" spans="1:13" s="187" customFormat="1" x14ac:dyDescent="0.2">
      <c r="A63" s="111">
        <f>IF(F63&lt;&gt;"",1+MAX($A$6:A62),"")</f>
        <v>46</v>
      </c>
      <c r="B63" s="533" t="s">
        <v>1025</v>
      </c>
      <c r="C63" s="534" t="s">
        <v>1026</v>
      </c>
      <c r="D63" s="122"/>
      <c r="E63" s="555" t="s">
        <v>1032</v>
      </c>
      <c r="F63" s="552">
        <f>F62-F60</f>
        <v>6.8148148148148096</v>
      </c>
      <c r="G63" s="436">
        <v>0.1</v>
      </c>
      <c r="H63" s="539">
        <f t="shared" si="20"/>
        <v>7.4962962962962907</v>
      </c>
      <c r="I63" s="540" t="s">
        <v>1028</v>
      </c>
      <c r="J63" s="553">
        <f>$J$14</f>
        <v>0</v>
      </c>
      <c r="K63" s="554">
        <f t="shared" si="21"/>
        <v>0</v>
      </c>
      <c r="L63" s="120"/>
      <c r="M63" s="558"/>
    </row>
    <row r="64" spans="1:13" s="187" customFormat="1" x14ac:dyDescent="0.2">
      <c r="A64" s="111">
        <f>IF(F64&lt;&gt;"",1+MAX($A$6:A63),"")</f>
        <v>47</v>
      </c>
      <c r="B64" s="533" t="s">
        <v>1025</v>
      </c>
      <c r="C64" s="534" t="s">
        <v>1026</v>
      </c>
      <c r="D64" s="122"/>
      <c r="E64" s="555" t="s">
        <v>1045</v>
      </c>
      <c r="F64" s="552">
        <f>9*11*0.668*1.2*2*4</f>
        <v>634.86720000000003</v>
      </c>
      <c r="G64" s="436">
        <v>0.1</v>
      </c>
      <c r="H64" s="539">
        <f t="shared" si="20"/>
        <v>698.35392000000013</v>
      </c>
      <c r="I64" s="540" t="s">
        <v>427</v>
      </c>
      <c r="J64" s="553">
        <f t="shared" ref="J64:J65" si="22">$J$15</f>
        <v>0</v>
      </c>
      <c r="K64" s="554">
        <f t="shared" si="21"/>
        <v>0</v>
      </c>
      <c r="L64" s="120"/>
      <c r="M64" s="558"/>
    </row>
    <row r="65" spans="1:13" s="187" customFormat="1" x14ac:dyDescent="0.2">
      <c r="A65" s="111">
        <f>IF(F65&lt;&gt;"",1+MAX($A$6:A64),"")</f>
        <v>48</v>
      </c>
      <c r="B65" s="533" t="s">
        <v>1025</v>
      </c>
      <c r="C65" s="534" t="s">
        <v>1026</v>
      </c>
      <c r="D65" s="122"/>
      <c r="E65" s="555" t="s">
        <v>1048</v>
      </c>
      <c r="F65" s="552">
        <f>9*11*3.4*1.2*2*4</f>
        <v>3231.3599999999997</v>
      </c>
      <c r="G65" s="436">
        <v>0.1</v>
      </c>
      <c r="H65" s="539">
        <f t="shared" si="20"/>
        <v>3554.4960000000001</v>
      </c>
      <c r="I65" s="540" t="s">
        <v>427</v>
      </c>
      <c r="J65" s="553">
        <f t="shared" si="22"/>
        <v>0</v>
      </c>
      <c r="K65" s="554">
        <f t="shared" si="21"/>
        <v>0</v>
      </c>
      <c r="L65" s="120"/>
      <c r="M65" s="558"/>
    </row>
    <row r="66" spans="1:13" s="187" customFormat="1" ht="16.5" thickBot="1" x14ac:dyDescent="0.25">
      <c r="A66" s="111" t="str">
        <f>IF(F66&lt;&gt;"",1+MAX($A$6:A65),"")</f>
        <v/>
      </c>
      <c r="B66" s="533"/>
      <c r="C66" s="534"/>
      <c r="D66" s="122"/>
      <c r="E66" s="559"/>
      <c r="F66" s="560"/>
      <c r="G66" s="436"/>
      <c r="H66" s="539"/>
      <c r="I66" s="540"/>
      <c r="J66" s="553"/>
      <c r="K66" s="554"/>
      <c r="L66" s="120"/>
      <c r="M66" s="558"/>
    </row>
    <row r="67" spans="1:13" s="187" customFormat="1" ht="16.5" thickBot="1" x14ac:dyDescent="0.25">
      <c r="A67" s="111" t="str">
        <f>IF(F67&lt;&gt;"",1+MAX($A$6:A66),"")</f>
        <v/>
      </c>
      <c r="B67" s="533"/>
      <c r="C67" s="542"/>
      <c r="D67" s="543"/>
      <c r="E67" s="561" t="s">
        <v>1049</v>
      </c>
      <c r="F67" s="537"/>
      <c r="G67" s="546"/>
      <c r="H67" s="547"/>
      <c r="I67" s="548"/>
      <c r="J67" s="226"/>
      <c r="K67" s="549"/>
      <c r="L67" s="120"/>
    </row>
    <row r="68" spans="1:13" s="187" customFormat="1" ht="63" x14ac:dyDescent="0.2">
      <c r="A68" s="111" t="str">
        <f>IF(F68&lt;&gt;"",1+MAX($A$6:A67),"")</f>
        <v/>
      </c>
      <c r="B68" s="533"/>
      <c r="C68" s="534"/>
      <c r="D68" s="550"/>
      <c r="E68" s="551" t="s">
        <v>1050</v>
      </c>
      <c r="F68" s="552"/>
      <c r="G68" s="127"/>
      <c r="H68" s="539"/>
      <c r="I68" s="540"/>
      <c r="J68" s="553"/>
      <c r="K68" s="554"/>
      <c r="L68" s="120"/>
    </row>
    <row r="69" spans="1:13" s="187" customFormat="1" x14ac:dyDescent="0.2">
      <c r="A69" s="111">
        <f>IF(F69&lt;&gt;"",1+MAX($A$6:A68),"")</f>
        <v>49</v>
      </c>
      <c r="B69" s="533" t="s">
        <v>1025</v>
      </c>
      <c r="C69" s="534" t="s">
        <v>1051</v>
      </c>
      <c r="D69" s="122"/>
      <c r="E69" s="555" t="s">
        <v>1027</v>
      </c>
      <c r="F69" s="552">
        <f>76*3*1.25/27</f>
        <v>10.555555555555555</v>
      </c>
      <c r="G69" s="436">
        <v>0.1</v>
      </c>
      <c r="H69" s="539">
        <f t="shared" ref="H69:H74" si="23">F69*(1+G69)</f>
        <v>11.611111111111112</v>
      </c>
      <c r="I69" s="540" t="s">
        <v>1028</v>
      </c>
      <c r="J69" s="553">
        <f>$J$11</f>
        <v>0</v>
      </c>
      <c r="K69" s="554">
        <f t="shared" ref="K69:K74" si="24">J69*H69</f>
        <v>0</v>
      </c>
      <c r="L69" s="120"/>
      <c r="M69" s="558"/>
    </row>
    <row r="70" spans="1:13" s="187" customFormat="1" x14ac:dyDescent="0.2">
      <c r="A70" s="111">
        <f>IF(F70&lt;&gt;"",1+MAX($A$6:A69),"")</f>
        <v>50</v>
      </c>
      <c r="B70" s="533" t="s">
        <v>1025</v>
      </c>
      <c r="C70" s="534" t="s">
        <v>1051</v>
      </c>
      <c r="D70" s="122"/>
      <c r="E70" s="555" t="s">
        <v>1052</v>
      </c>
      <c r="F70" s="552">
        <f>76*1.25*2</f>
        <v>190</v>
      </c>
      <c r="G70" s="436">
        <v>0.1</v>
      </c>
      <c r="H70" s="539">
        <f t="shared" si="23"/>
        <v>209.00000000000003</v>
      </c>
      <c r="I70" s="540" t="s">
        <v>1030</v>
      </c>
      <c r="J70" s="556">
        <v>0</v>
      </c>
      <c r="K70" s="554">
        <f t="shared" si="24"/>
        <v>0</v>
      </c>
      <c r="L70" s="120"/>
      <c r="M70" s="558"/>
    </row>
    <row r="71" spans="1:13" s="187" customFormat="1" x14ac:dyDescent="0.2">
      <c r="A71" s="111">
        <f>IF(F71&lt;&gt;"",1+MAX($A$6:A70),"")</f>
        <v>51</v>
      </c>
      <c r="B71" s="533" t="s">
        <v>1025</v>
      </c>
      <c r="C71" s="534" t="s">
        <v>1051</v>
      </c>
      <c r="D71" s="122"/>
      <c r="E71" s="555" t="s">
        <v>1031</v>
      </c>
      <c r="F71" s="552">
        <f>76*4*2/27</f>
        <v>22.518518518518519</v>
      </c>
      <c r="G71" s="436">
        <v>0.1</v>
      </c>
      <c r="H71" s="539">
        <f t="shared" si="23"/>
        <v>24.770370370370372</v>
      </c>
      <c r="I71" s="540" t="s">
        <v>1028</v>
      </c>
      <c r="J71" s="553">
        <f>$J$13</f>
        <v>0</v>
      </c>
      <c r="K71" s="554">
        <f t="shared" si="24"/>
        <v>0</v>
      </c>
      <c r="L71" s="120"/>
      <c r="M71" s="558"/>
    </row>
    <row r="72" spans="1:13" s="187" customFormat="1" x14ac:dyDescent="0.2">
      <c r="A72" s="111">
        <f>IF(F72&lt;&gt;"",1+MAX($A$6:A71),"")</f>
        <v>52</v>
      </c>
      <c r="B72" s="533" t="s">
        <v>1025</v>
      </c>
      <c r="C72" s="534" t="s">
        <v>1051</v>
      </c>
      <c r="D72" s="122"/>
      <c r="E72" s="555" t="s">
        <v>1032</v>
      </c>
      <c r="F72" s="552">
        <f>F71-F69</f>
        <v>11.962962962962964</v>
      </c>
      <c r="G72" s="436">
        <v>0.1</v>
      </c>
      <c r="H72" s="539">
        <f t="shared" si="23"/>
        <v>13.159259259259262</v>
      </c>
      <c r="I72" s="540" t="s">
        <v>1028</v>
      </c>
      <c r="J72" s="553">
        <f>$J$14</f>
        <v>0</v>
      </c>
      <c r="K72" s="554">
        <f t="shared" si="24"/>
        <v>0</v>
      </c>
      <c r="L72" s="120"/>
      <c r="M72" s="558"/>
    </row>
    <row r="73" spans="1:13" s="187" customFormat="1" x14ac:dyDescent="0.2">
      <c r="A73" s="111">
        <f>IF(F73&lt;&gt;"",1+MAX($A$6:A72),"")</f>
        <v>53</v>
      </c>
      <c r="B73" s="533" t="s">
        <v>1025</v>
      </c>
      <c r="C73" s="534" t="s">
        <v>1051</v>
      </c>
      <c r="D73" s="122"/>
      <c r="E73" s="555" t="s">
        <v>1053</v>
      </c>
      <c r="F73" s="552">
        <f>4*76*1.043*1.2</f>
        <v>380.4864</v>
      </c>
      <c r="G73" s="436">
        <v>0.1</v>
      </c>
      <c r="H73" s="539">
        <f t="shared" si="23"/>
        <v>418.53504000000004</v>
      </c>
      <c r="I73" s="540" t="s">
        <v>427</v>
      </c>
      <c r="J73" s="553">
        <f t="shared" ref="J73:J74" si="25">$J$15</f>
        <v>0</v>
      </c>
      <c r="K73" s="554">
        <f t="shared" si="24"/>
        <v>0</v>
      </c>
      <c r="L73" s="120"/>
      <c r="M73" s="558"/>
    </row>
    <row r="74" spans="1:13" s="187" customFormat="1" x14ac:dyDescent="0.2">
      <c r="A74" s="111">
        <f>IF(F74&lt;&gt;"",1+MAX($A$6:A73),"")</f>
        <v>54</v>
      </c>
      <c r="B74" s="533" t="s">
        <v>1025</v>
      </c>
      <c r="C74" s="534" t="s">
        <v>1051</v>
      </c>
      <c r="D74" s="122"/>
      <c r="E74" s="555" t="s">
        <v>1054</v>
      </c>
      <c r="F74" s="552">
        <f>76/1*3*1.5*1.2</f>
        <v>410.4</v>
      </c>
      <c r="G74" s="436">
        <v>0.1</v>
      </c>
      <c r="H74" s="539">
        <f t="shared" si="23"/>
        <v>451.44</v>
      </c>
      <c r="I74" s="540" t="s">
        <v>427</v>
      </c>
      <c r="J74" s="553">
        <f t="shared" si="25"/>
        <v>0</v>
      </c>
      <c r="K74" s="554">
        <f t="shared" si="24"/>
        <v>0</v>
      </c>
      <c r="L74" s="120"/>
      <c r="M74" s="558"/>
    </row>
    <row r="75" spans="1:13" s="187" customFormat="1" ht="63" x14ac:dyDescent="0.2">
      <c r="A75" s="111" t="str">
        <f>IF(F75&lt;&gt;"",1+MAX($A$6:A74),"")</f>
        <v/>
      </c>
      <c r="B75" s="533"/>
      <c r="C75" s="534"/>
      <c r="D75" s="550"/>
      <c r="E75" s="551" t="s">
        <v>1055</v>
      </c>
      <c r="F75" s="552"/>
      <c r="G75" s="127"/>
      <c r="H75" s="539"/>
      <c r="I75" s="540"/>
      <c r="J75" s="553"/>
      <c r="K75" s="554"/>
      <c r="L75" s="120"/>
    </row>
    <row r="76" spans="1:13" s="187" customFormat="1" x14ac:dyDescent="0.2">
      <c r="A76" s="111">
        <f>IF(F76&lt;&gt;"",1+MAX($A$6:A75),"")</f>
        <v>55</v>
      </c>
      <c r="B76" s="533" t="s">
        <v>1025</v>
      </c>
      <c r="C76" s="534" t="s">
        <v>1056</v>
      </c>
      <c r="D76" s="122"/>
      <c r="E76" s="555" t="s">
        <v>1027</v>
      </c>
      <c r="F76" s="552">
        <f>125*4*1.25/27</f>
        <v>23.148148148148149</v>
      </c>
      <c r="G76" s="436">
        <v>0.1</v>
      </c>
      <c r="H76" s="539">
        <f t="shared" ref="H76:H81" si="26">F76*(1+G76)</f>
        <v>25.462962962962965</v>
      </c>
      <c r="I76" s="540" t="s">
        <v>1028</v>
      </c>
      <c r="J76" s="553">
        <f>$J$11</f>
        <v>0</v>
      </c>
      <c r="K76" s="554">
        <f t="shared" ref="K76:K81" si="27">J76*H76</f>
        <v>0</v>
      </c>
      <c r="L76" s="120"/>
      <c r="M76" s="558"/>
    </row>
    <row r="77" spans="1:13" s="187" customFormat="1" x14ac:dyDescent="0.2">
      <c r="A77" s="111">
        <f>IF(F77&lt;&gt;"",1+MAX($A$6:A76),"")</f>
        <v>56</v>
      </c>
      <c r="B77" s="533" t="s">
        <v>1025</v>
      </c>
      <c r="C77" s="534" t="s">
        <v>1056</v>
      </c>
      <c r="D77" s="122"/>
      <c r="E77" s="555" t="s">
        <v>1052</v>
      </c>
      <c r="F77" s="552">
        <f>125*1.25*2</f>
        <v>312.5</v>
      </c>
      <c r="G77" s="436">
        <v>0.1</v>
      </c>
      <c r="H77" s="539">
        <f t="shared" si="26"/>
        <v>343.75</v>
      </c>
      <c r="I77" s="540" t="s">
        <v>1030</v>
      </c>
      <c r="J77" s="553">
        <f>J$70</f>
        <v>0</v>
      </c>
      <c r="K77" s="554">
        <f t="shared" si="27"/>
        <v>0</v>
      </c>
      <c r="L77" s="120"/>
      <c r="M77" s="558"/>
    </row>
    <row r="78" spans="1:13" s="187" customFormat="1" x14ac:dyDescent="0.2">
      <c r="A78" s="111">
        <f>IF(F78&lt;&gt;"",1+MAX($A$6:A77),"")</f>
        <v>57</v>
      </c>
      <c r="B78" s="533" t="s">
        <v>1025</v>
      </c>
      <c r="C78" s="534" t="s">
        <v>1056</v>
      </c>
      <c r="D78" s="122"/>
      <c r="E78" s="555" t="s">
        <v>1031</v>
      </c>
      <c r="F78" s="552">
        <f>125*5*2/27</f>
        <v>46.296296296296298</v>
      </c>
      <c r="G78" s="436">
        <v>0.1</v>
      </c>
      <c r="H78" s="539">
        <f t="shared" si="26"/>
        <v>50.925925925925931</v>
      </c>
      <c r="I78" s="540" t="s">
        <v>1028</v>
      </c>
      <c r="J78" s="553">
        <f>$J$13</f>
        <v>0</v>
      </c>
      <c r="K78" s="554">
        <f t="shared" si="27"/>
        <v>0</v>
      </c>
      <c r="L78" s="120"/>
      <c r="M78" s="558"/>
    </row>
    <row r="79" spans="1:13" s="187" customFormat="1" x14ac:dyDescent="0.2">
      <c r="A79" s="111">
        <f>IF(F79&lt;&gt;"",1+MAX($A$6:A78),"")</f>
        <v>58</v>
      </c>
      <c r="B79" s="533" t="s">
        <v>1025</v>
      </c>
      <c r="C79" s="534" t="s">
        <v>1056</v>
      </c>
      <c r="D79" s="122"/>
      <c r="E79" s="555" t="s">
        <v>1032</v>
      </c>
      <c r="F79" s="552">
        <f>F78-F76</f>
        <v>23.148148148148149</v>
      </c>
      <c r="G79" s="436">
        <v>0.1</v>
      </c>
      <c r="H79" s="539">
        <f t="shared" si="26"/>
        <v>25.462962962962965</v>
      </c>
      <c r="I79" s="540" t="s">
        <v>1028</v>
      </c>
      <c r="J79" s="553">
        <f>$J$14</f>
        <v>0</v>
      </c>
      <c r="K79" s="554">
        <f t="shared" si="27"/>
        <v>0</v>
      </c>
      <c r="L79" s="120"/>
      <c r="M79" s="558"/>
    </row>
    <row r="80" spans="1:13" s="187" customFormat="1" x14ac:dyDescent="0.2">
      <c r="A80" s="111">
        <f>IF(F80&lt;&gt;"",1+MAX($A$6:A79),"")</f>
        <v>59</v>
      </c>
      <c r="B80" s="533" t="s">
        <v>1025</v>
      </c>
      <c r="C80" s="534" t="s">
        <v>1056</v>
      </c>
      <c r="D80" s="122"/>
      <c r="E80" s="555" t="s">
        <v>1057</v>
      </c>
      <c r="F80" s="552">
        <f>5*125*1.043*1.2</f>
        <v>782.25</v>
      </c>
      <c r="G80" s="436">
        <v>0.1</v>
      </c>
      <c r="H80" s="539">
        <f t="shared" si="26"/>
        <v>860.47500000000002</v>
      </c>
      <c r="I80" s="540" t="s">
        <v>427</v>
      </c>
      <c r="J80" s="553">
        <f t="shared" ref="J80:J81" si="28">$J$15</f>
        <v>0</v>
      </c>
      <c r="K80" s="554">
        <f t="shared" si="27"/>
        <v>0</v>
      </c>
      <c r="L80" s="120"/>
      <c r="M80" s="558"/>
    </row>
    <row r="81" spans="1:13" s="187" customFormat="1" x14ac:dyDescent="0.2">
      <c r="A81" s="111">
        <f>IF(F81&lt;&gt;"",1+MAX($A$6:A80),"")</f>
        <v>60</v>
      </c>
      <c r="B81" s="533" t="s">
        <v>1025</v>
      </c>
      <c r="C81" s="534" t="s">
        <v>1056</v>
      </c>
      <c r="D81" s="122"/>
      <c r="E81" s="555" t="s">
        <v>1054</v>
      </c>
      <c r="F81" s="552">
        <f>125/1*4*1.5*1.2</f>
        <v>900</v>
      </c>
      <c r="G81" s="436">
        <v>0.1</v>
      </c>
      <c r="H81" s="539">
        <f t="shared" si="26"/>
        <v>990.00000000000011</v>
      </c>
      <c r="I81" s="540" t="s">
        <v>427</v>
      </c>
      <c r="J81" s="553">
        <f t="shared" si="28"/>
        <v>0</v>
      </c>
      <c r="K81" s="554">
        <f t="shared" si="27"/>
        <v>0</v>
      </c>
      <c r="L81" s="120"/>
      <c r="M81" s="558"/>
    </row>
    <row r="82" spans="1:13" s="187" customFormat="1" ht="63" x14ac:dyDescent="0.2">
      <c r="A82" s="111" t="str">
        <f>IF(F82&lt;&gt;"",1+MAX($A$6:A81),"")</f>
        <v/>
      </c>
      <c r="B82" s="533"/>
      <c r="C82" s="534"/>
      <c r="D82" s="550"/>
      <c r="E82" s="551" t="s">
        <v>1058</v>
      </c>
      <c r="F82" s="552"/>
      <c r="G82" s="127"/>
      <c r="H82" s="539"/>
      <c r="I82" s="540"/>
      <c r="J82" s="553"/>
      <c r="K82" s="554"/>
      <c r="L82" s="120"/>
    </row>
    <row r="83" spans="1:13" s="187" customFormat="1" x14ac:dyDescent="0.2">
      <c r="A83" s="111">
        <f>IF(F83&lt;&gt;"",1+MAX($A$6:A82),"")</f>
        <v>61</v>
      </c>
      <c r="B83" s="533" t="s">
        <v>1025</v>
      </c>
      <c r="C83" s="534" t="s">
        <v>1059</v>
      </c>
      <c r="D83" s="122"/>
      <c r="E83" s="555" t="s">
        <v>1027</v>
      </c>
      <c r="F83" s="552">
        <f>328*2.5*1.25/27</f>
        <v>37.962962962962962</v>
      </c>
      <c r="G83" s="436">
        <v>0.1</v>
      </c>
      <c r="H83" s="539">
        <f t="shared" ref="H83:H87" si="29">F83*(1+G83)</f>
        <v>41.75925925925926</v>
      </c>
      <c r="I83" s="540" t="s">
        <v>1028</v>
      </c>
      <c r="J83" s="553">
        <f>$J$11</f>
        <v>0</v>
      </c>
      <c r="K83" s="554">
        <f t="shared" ref="K83:K87" si="30">J83*H83</f>
        <v>0</v>
      </c>
      <c r="L83" s="120"/>
      <c r="M83" s="558"/>
    </row>
    <row r="84" spans="1:13" s="187" customFormat="1" x14ac:dyDescent="0.2">
      <c r="A84" s="111">
        <f>IF(F84&lt;&gt;"",1+MAX($A$6:A83),"")</f>
        <v>62</v>
      </c>
      <c r="B84" s="533" t="s">
        <v>1025</v>
      </c>
      <c r="C84" s="534" t="s">
        <v>1059</v>
      </c>
      <c r="D84" s="122"/>
      <c r="E84" s="555" t="s">
        <v>1052</v>
      </c>
      <c r="F84" s="552">
        <f>328*1.25*2</f>
        <v>820</v>
      </c>
      <c r="G84" s="436">
        <v>0.1</v>
      </c>
      <c r="H84" s="539">
        <f t="shared" si="29"/>
        <v>902.00000000000011</v>
      </c>
      <c r="I84" s="540" t="s">
        <v>1030</v>
      </c>
      <c r="J84" s="553">
        <f>J$70</f>
        <v>0</v>
      </c>
      <c r="K84" s="554">
        <f t="shared" si="30"/>
        <v>0</v>
      </c>
      <c r="L84" s="120"/>
      <c r="M84" s="558"/>
    </row>
    <row r="85" spans="1:13" s="187" customFormat="1" x14ac:dyDescent="0.2">
      <c r="A85" s="111">
        <f>IF(F85&lt;&gt;"",1+MAX($A$6:A84),"")</f>
        <v>63</v>
      </c>
      <c r="B85" s="533" t="s">
        <v>1025</v>
      </c>
      <c r="C85" s="534" t="s">
        <v>1059</v>
      </c>
      <c r="D85" s="122"/>
      <c r="E85" s="555" t="s">
        <v>1031</v>
      </c>
      <c r="F85" s="552">
        <f>325*3.5*2/27</f>
        <v>84.259259259259252</v>
      </c>
      <c r="G85" s="436">
        <v>0.1</v>
      </c>
      <c r="H85" s="539">
        <f t="shared" si="29"/>
        <v>92.68518518518519</v>
      </c>
      <c r="I85" s="540" t="s">
        <v>1028</v>
      </c>
      <c r="J85" s="553">
        <f>$J$13</f>
        <v>0</v>
      </c>
      <c r="K85" s="554">
        <f t="shared" si="30"/>
        <v>0</v>
      </c>
      <c r="L85" s="120"/>
      <c r="M85" s="558"/>
    </row>
    <row r="86" spans="1:13" s="187" customFormat="1" x14ac:dyDescent="0.2">
      <c r="A86" s="111">
        <f>IF(F86&lt;&gt;"",1+MAX($A$6:A85),"")</f>
        <v>64</v>
      </c>
      <c r="B86" s="533" t="s">
        <v>1025</v>
      </c>
      <c r="C86" s="534" t="s">
        <v>1059</v>
      </c>
      <c r="D86" s="122"/>
      <c r="E86" s="555" t="s">
        <v>1032</v>
      </c>
      <c r="F86" s="552">
        <f>F85-F83</f>
        <v>46.296296296296291</v>
      </c>
      <c r="G86" s="436">
        <v>0.1</v>
      </c>
      <c r="H86" s="539">
        <f t="shared" si="29"/>
        <v>50.925925925925924</v>
      </c>
      <c r="I86" s="540" t="s">
        <v>1028</v>
      </c>
      <c r="J86" s="553">
        <f>$J$14</f>
        <v>0</v>
      </c>
      <c r="K86" s="554">
        <f t="shared" si="30"/>
        <v>0</v>
      </c>
      <c r="L86" s="120"/>
      <c r="M86" s="558"/>
    </row>
    <row r="87" spans="1:13" s="187" customFormat="1" x14ac:dyDescent="0.2">
      <c r="A87" s="111">
        <f>IF(F87&lt;&gt;"",1+MAX($A$6:A86),"")</f>
        <v>65</v>
      </c>
      <c r="B87" s="533" t="s">
        <v>1025</v>
      </c>
      <c r="C87" s="534" t="s">
        <v>1059</v>
      </c>
      <c r="D87" s="122"/>
      <c r="E87" s="555" t="s">
        <v>1060</v>
      </c>
      <c r="F87" s="552">
        <f>3*328*1.043*1.2</f>
        <v>1231.5743999999997</v>
      </c>
      <c r="G87" s="436">
        <v>0.1</v>
      </c>
      <c r="H87" s="539">
        <f t="shared" si="29"/>
        <v>1354.7318399999999</v>
      </c>
      <c r="I87" s="540" t="s">
        <v>427</v>
      </c>
      <c r="J87" s="553">
        <f>$J$15</f>
        <v>0</v>
      </c>
      <c r="K87" s="554">
        <f t="shared" si="30"/>
        <v>0</v>
      </c>
      <c r="L87" s="120"/>
      <c r="M87" s="558"/>
    </row>
    <row r="88" spans="1:13" s="187" customFormat="1" ht="63" x14ac:dyDescent="0.2">
      <c r="A88" s="111" t="str">
        <f>IF(F88&lt;&gt;"",1+MAX($A$6:A87),"")</f>
        <v/>
      </c>
      <c r="B88" s="533"/>
      <c r="C88" s="534"/>
      <c r="D88" s="550"/>
      <c r="E88" s="551" t="s">
        <v>1061</v>
      </c>
      <c r="F88" s="552"/>
      <c r="G88" s="127"/>
      <c r="H88" s="539"/>
      <c r="I88" s="540"/>
      <c r="J88" s="553"/>
      <c r="K88" s="554"/>
      <c r="L88" s="120"/>
    </row>
    <row r="89" spans="1:13" s="187" customFormat="1" x14ac:dyDescent="0.2">
      <c r="A89" s="111">
        <f>IF(F89&lt;&gt;"",1+MAX($A$6:A88),"")</f>
        <v>66</v>
      </c>
      <c r="B89" s="533" t="s">
        <v>1025</v>
      </c>
      <c r="C89" s="534" t="s">
        <v>1062</v>
      </c>
      <c r="D89" s="122"/>
      <c r="E89" s="555" t="s">
        <v>1027</v>
      </c>
      <c r="F89" s="552">
        <f>35*3.75*1.25/27</f>
        <v>6.0763888888888893</v>
      </c>
      <c r="G89" s="436">
        <v>0.1</v>
      </c>
      <c r="H89" s="539">
        <f t="shared" ref="H89:H94" si="31">F89*(1+G89)</f>
        <v>6.6840277777777786</v>
      </c>
      <c r="I89" s="540" t="s">
        <v>1028</v>
      </c>
      <c r="J89" s="553">
        <f>$J$11</f>
        <v>0</v>
      </c>
      <c r="K89" s="554">
        <f t="shared" ref="K89:K94" si="32">J89*H89</f>
        <v>0</v>
      </c>
      <c r="L89" s="120"/>
      <c r="M89" s="558"/>
    </row>
    <row r="90" spans="1:13" s="187" customFormat="1" x14ac:dyDescent="0.2">
      <c r="A90" s="111">
        <f>IF(F90&lt;&gt;"",1+MAX($A$6:A89),"")</f>
        <v>67</v>
      </c>
      <c r="B90" s="533" t="s">
        <v>1025</v>
      </c>
      <c r="C90" s="534" t="s">
        <v>1062</v>
      </c>
      <c r="D90" s="122"/>
      <c r="E90" s="555" t="s">
        <v>1052</v>
      </c>
      <c r="F90" s="552">
        <f>35*1.25*2</f>
        <v>87.5</v>
      </c>
      <c r="G90" s="436">
        <v>0.1</v>
      </c>
      <c r="H90" s="539">
        <f t="shared" si="31"/>
        <v>96.250000000000014</v>
      </c>
      <c r="I90" s="540" t="s">
        <v>1030</v>
      </c>
      <c r="J90" s="553">
        <f>J$70</f>
        <v>0</v>
      </c>
      <c r="K90" s="554">
        <f t="shared" si="32"/>
        <v>0</v>
      </c>
      <c r="L90" s="120"/>
      <c r="M90" s="558"/>
    </row>
    <row r="91" spans="1:13" s="187" customFormat="1" x14ac:dyDescent="0.2">
      <c r="A91" s="111">
        <f>IF(F91&lt;&gt;"",1+MAX($A$6:A90),"")</f>
        <v>68</v>
      </c>
      <c r="B91" s="533" t="s">
        <v>1025</v>
      </c>
      <c r="C91" s="534" t="s">
        <v>1062</v>
      </c>
      <c r="D91" s="122"/>
      <c r="E91" s="555" t="s">
        <v>1031</v>
      </c>
      <c r="F91" s="552">
        <f>35*4.75*2/27</f>
        <v>12.314814814814815</v>
      </c>
      <c r="G91" s="436">
        <v>0.1</v>
      </c>
      <c r="H91" s="539">
        <f t="shared" si="31"/>
        <v>13.546296296296298</v>
      </c>
      <c r="I91" s="540" t="s">
        <v>1028</v>
      </c>
      <c r="J91" s="553">
        <f>$J$13</f>
        <v>0</v>
      </c>
      <c r="K91" s="554">
        <f t="shared" si="32"/>
        <v>0</v>
      </c>
      <c r="L91" s="120"/>
      <c r="M91" s="558"/>
    </row>
    <row r="92" spans="1:13" s="187" customFormat="1" x14ac:dyDescent="0.2">
      <c r="A92" s="111">
        <f>IF(F92&lt;&gt;"",1+MAX($A$6:A91),"")</f>
        <v>69</v>
      </c>
      <c r="B92" s="533" t="s">
        <v>1025</v>
      </c>
      <c r="C92" s="534" t="s">
        <v>1062</v>
      </c>
      <c r="D92" s="122"/>
      <c r="E92" s="555" t="s">
        <v>1032</v>
      </c>
      <c r="F92" s="552">
        <f>F91-F89</f>
        <v>6.2384259259259256</v>
      </c>
      <c r="G92" s="436">
        <v>0.1</v>
      </c>
      <c r="H92" s="539">
        <f t="shared" si="31"/>
        <v>6.862268518518519</v>
      </c>
      <c r="I92" s="540" t="s">
        <v>1028</v>
      </c>
      <c r="J92" s="553">
        <f>$J$14</f>
        <v>0</v>
      </c>
      <c r="K92" s="554">
        <f t="shared" si="32"/>
        <v>0</v>
      </c>
      <c r="L92" s="120"/>
      <c r="M92" s="558"/>
    </row>
    <row r="93" spans="1:13" s="187" customFormat="1" x14ac:dyDescent="0.2">
      <c r="A93" s="111">
        <f>IF(F93&lt;&gt;"",1+MAX($A$6:A92),"")</f>
        <v>70</v>
      </c>
      <c r="B93" s="533" t="s">
        <v>1025</v>
      </c>
      <c r="C93" s="534" t="s">
        <v>1062</v>
      </c>
      <c r="D93" s="122"/>
      <c r="E93" s="555" t="s">
        <v>1057</v>
      </c>
      <c r="F93" s="552">
        <f>5*35*1.043*1.2</f>
        <v>219.02999999999997</v>
      </c>
      <c r="G93" s="436">
        <v>0.1</v>
      </c>
      <c r="H93" s="539">
        <f t="shared" si="31"/>
        <v>240.93299999999999</v>
      </c>
      <c r="I93" s="540" t="s">
        <v>427</v>
      </c>
      <c r="J93" s="553">
        <f t="shared" ref="J93:J94" si="33">$J$15</f>
        <v>0</v>
      </c>
      <c r="K93" s="554">
        <f t="shared" si="32"/>
        <v>0</v>
      </c>
      <c r="L93" s="120"/>
      <c r="M93" s="558"/>
    </row>
    <row r="94" spans="1:13" s="187" customFormat="1" x14ac:dyDescent="0.2">
      <c r="A94" s="111">
        <f>IF(F94&lt;&gt;"",1+MAX($A$6:A93),"")</f>
        <v>71</v>
      </c>
      <c r="B94" s="533" t="s">
        <v>1025</v>
      </c>
      <c r="C94" s="534" t="s">
        <v>1062</v>
      </c>
      <c r="D94" s="122"/>
      <c r="E94" s="555" t="s">
        <v>1054</v>
      </c>
      <c r="F94" s="552">
        <f>35/1*3.75*1.5*1.2</f>
        <v>236.25</v>
      </c>
      <c r="G94" s="436">
        <v>0.1</v>
      </c>
      <c r="H94" s="539">
        <f t="shared" si="31"/>
        <v>259.875</v>
      </c>
      <c r="I94" s="540" t="s">
        <v>427</v>
      </c>
      <c r="J94" s="553">
        <f t="shared" si="33"/>
        <v>0</v>
      </c>
      <c r="K94" s="554">
        <f t="shared" si="32"/>
        <v>0</v>
      </c>
      <c r="L94" s="120"/>
      <c r="M94" s="558"/>
    </row>
    <row r="95" spans="1:13" s="187" customFormat="1" ht="63" x14ac:dyDescent="0.2">
      <c r="A95" s="111" t="str">
        <f>IF(F95&lt;&gt;"",1+MAX($A$6:A94),"")</f>
        <v/>
      </c>
      <c r="B95" s="533"/>
      <c r="C95" s="534"/>
      <c r="D95" s="550"/>
      <c r="E95" s="551" t="s">
        <v>1063</v>
      </c>
      <c r="F95" s="552"/>
      <c r="G95" s="127"/>
      <c r="H95" s="539"/>
      <c r="I95" s="540"/>
      <c r="J95" s="553"/>
      <c r="K95" s="554"/>
      <c r="L95" s="120"/>
    </row>
    <row r="96" spans="1:13" s="187" customFormat="1" x14ac:dyDescent="0.2">
      <c r="A96" s="111">
        <f>IF(F96&lt;&gt;"",1+MAX($A$6:A95),"")</f>
        <v>72</v>
      </c>
      <c r="B96" s="533" t="s">
        <v>1025</v>
      </c>
      <c r="C96" s="534" t="s">
        <v>1064</v>
      </c>
      <c r="D96" s="122"/>
      <c r="E96" s="555" t="s">
        <v>1027</v>
      </c>
      <c r="F96" s="552">
        <f>21*3.75*1.25/27</f>
        <v>3.6458333333333335</v>
      </c>
      <c r="G96" s="436">
        <v>0.1</v>
      </c>
      <c r="H96" s="539">
        <f t="shared" ref="H96:H101" si="34">F96*(1+G96)</f>
        <v>4.010416666666667</v>
      </c>
      <c r="I96" s="540" t="s">
        <v>1028</v>
      </c>
      <c r="J96" s="553">
        <f>$J$11</f>
        <v>0</v>
      </c>
      <c r="K96" s="554">
        <f t="shared" ref="K96:K101" si="35">J96*H96</f>
        <v>0</v>
      </c>
      <c r="L96" s="120"/>
      <c r="M96" s="558"/>
    </row>
    <row r="97" spans="1:13" s="187" customFormat="1" x14ac:dyDescent="0.2">
      <c r="A97" s="111">
        <f>IF(F97&lt;&gt;"",1+MAX($A$6:A96),"")</f>
        <v>73</v>
      </c>
      <c r="B97" s="533" t="s">
        <v>1025</v>
      </c>
      <c r="C97" s="534" t="s">
        <v>1064</v>
      </c>
      <c r="D97" s="122"/>
      <c r="E97" s="555" t="s">
        <v>1052</v>
      </c>
      <c r="F97" s="552">
        <f>21*1.25*2</f>
        <v>52.5</v>
      </c>
      <c r="G97" s="436">
        <v>0.1</v>
      </c>
      <c r="H97" s="539">
        <f t="shared" si="34"/>
        <v>57.750000000000007</v>
      </c>
      <c r="I97" s="540" t="s">
        <v>1030</v>
      </c>
      <c r="J97" s="553">
        <f>J$70</f>
        <v>0</v>
      </c>
      <c r="K97" s="554">
        <f t="shared" si="35"/>
        <v>0</v>
      </c>
      <c r="L97" s="120"/>
      <c r="M97" s="558"/>
    </row>
    <row r="98" spans="1:13" s="187" customFormat="1" x14ac:dyDescent="0.2">
      <c r="A98" s="111">
        <f>IF(F98&lt;&gt;"",1+MAX($A$6:A97),"")</f>
        <v>74</v>
      </c>
      <c r="B98" s="533" t="s">
        <v>1025</v>
      </c>
      <c r="C98" s="534" t="s">
        <v>1064</v>
      </c>
      <c r="D98" s="122"/>
      <c r="E98" s="555" t="s">
        <v>1031</v>
      </c>
      <c r="F98" s="552">
        <f>21*4.75*2/27</f>
        <v>7.3888888888888893</v>
      </c>
      <c r="G98" s="436">
        <v>0.1</v>
      </c>
      <c r="H98" s="539">
        <f t="shared" si="34"/>
        <v>8.1277777777777782</v>
      </c>
      <c r="I98" s="540" t="s">
        <v>1028</v>
      </c>
      <c r="J98" s="553">
        <f>$J$13</f>
        <v>0</v>
      </c>
      <c r="K98" s="554">
        <f t="shared" si="35"/>
        <v>0</v>
      </c>
      <c r="L98" s="120"/>
      <c r="M98" s="558"/>
    </row>
    <row r="99" spans="1:13" s="187" customFormat="1" x14ac:dyDescent="0.2">
      <c r="A99" s="111">
        <f>IF(F99&lt;&gt;"",1+MAX($A$6:A98),"")</f>
        <v>75</v>
      </c>
      <c r="B99" s="533" t="s">
        <v>1025</v>
      </c>
      <c r="C99" s="534" t="s">
        <v>1064</v>
      </c>
      <c r="D99" s="122"/>
      <c r="E99" s="555" t="s">
        <v>1032</v>
      </c>
      <c r="F99" s="552">
        <f>F98-F96</f>
        <v>3.7430555555555558</v>
      </c>
      <c r="G99" s="436">
        <v>0.1</v>
      </c>
      <c r="H99" s="539">
        <f t="shared" si="34"/>
        <v>4.1173611111111121</v>
      </c>
      <c r="I99" s="540" t="s">
        <v>1028</v>
      </c>
      <c r="J99" s="553">
        <f>$J$14</f>
        <v>0</v>
      </c>
      <c r="K99" s="554">
        <f t="shared" si="35"/>
        <v>0</v>
      </c>
      <c r="L99" s="120"/>
      <c r="M99" s="558"/>
    </row>
    <row r="100" spans="1:13" s="187" customFormat="1" x14ac:dyDescent="0.2">
      <c r="A100" s="111">
        <f>IF(F100&lt;&gt;"",1+MAX($A$6:A99),"")</f>
        <v>76</v>
      </c>
      <c r="B100" s="533" t="s">
        <v>1025</v>
      </c>
      <c r="C100" s="534" t="s">
        <v>1064</v>
      </c>
      <c r="D100" s="122"/>
      <c r="E100" s="555" t="s">
        <v>1057</v>
      </c>
      <c r="F100" s="552">
        <f>5*21*1.043*1.2</f>
        <v>131.41799999999998</v>
      </c>
      <c r="G100" s="436">
        <v>0.1</v>
      </c>
      <c r="H100" s="539">
        <f t="shared" si="34"/>
        <v>144.5598</v>
      </c>
      <c r="I100" s="540" t="s">
        <v>427</v>
      </c>
      <c r="J100" s="553">
        <f t="shared" ref="J100:J101" si="36">$J$15</f>
        <v>0</v>
      </c>
      <c r="K100" s="554">
        <f t="shared" si="35"/>
        <v>0</v>
      </c>
      <c r="L100" s="120"/>
      <c r="M100" s="558"/>
    </row>
    <row r="101" spans="1:13" s="187" customFormat="1" x14ac:dyDescent="0.2">
      <c r="A101" s="111">
        <f>IF(F101&lt;&gt;"",1+MAX($A$6:A100),"")</f>
        <v>77</v>
      </c>
      <c r="B101" s="533" t="s">
        <v>1025</v>
      </c>
      <c r="C101" s="534" t="s">
        <v>1064</v>
      </c>
      <c r="D101" s="122"/>
      <c r="E101" s="555" t="s">
        <v>1054</v>
      </c>
      <c r="F101" s="552">
        <f>21/1*3.75*1.5*1.2</f>
        <v>141.75</v>
      </c>
      <c r="G101" s="436">
        <v>0.1</v>
      </c>
      <c r="H101" s="539">
        <f t="shared" si="34"/>
        <v>155.92500000000001</v>
      </c>
      <c r="I101" s="540" t="s">
        <v>427</v>
      </c>
      <c r="J101" s="553">
        <f t="shared" si="36"/>
        <v>0</v>
      </c>
      <c r="K101" s="554">
        <f t="shared" si="35"/>
        <v>0</v>
      </c>
      <c r="L101" s="120"/>
      <c r="M101" s="558"/>
    </row>
    <row r="102" spans="1:13" s="187" customFormat="1" ht="63" x14ac:dyDescent="0.2">
      <c r="A102" s="111" t="str">
        <f>IF(F102&lt;&gt;"",1+MAX($A$6:A101),"")</f>
        <v/>
      </c>
      <c r="B102" s="533"/>
      <c r="C102" s="534"/>
      <c r="D102" s="550"/>
      <c r="E102" s="551" t="s">
        <v>1065</v>
      </c>
      <c r="F102" s="552"/>
      <c r="G102" s="127"/>
      <c r="H102" s="539"/>
      <c r="I102" s="540"/>
      <c r="J102" s="553"/>
      <c r="K102" s="554"/>
      <c r="L102" s="120"/>
    </row>
    <row r="103" spans="1:13" s="187" customFormat="1" x14ac:dyDescent="0.2">
      <c r="A103" s="111">
        <f>IF(F103&lt;&gt;"",1+MAX($A$6:A102),"")</f>
        <v>78</v>
      </c>
      <c r="B103" s="533" t="s">
        <v>1025</v>
      </c>
      <c r="C103" s="534" t="s">
        <v>1066</v>
      </c>
      <c r="D103" s="122"/>
      <c r="E103" s="555" t="s">
        <v>1027</v>
      </c>
      <c r="F103" s="552">
        <f>80*3.5*1.25/27</f>
        <v>12.962962962962964</v>
      </c>
      <c r="G103" s="436">
        <v>0.1</v>
      </c>
      <c r="H103" s="539">
        <f t="shared" ref="H103:H108" si="37">F103*(1+G103)</f>
        <v>14.259259259259261</v>
      </c>
      <c r="I103" s="540" t="s">
        <v>1028</v>
      </c>
      <c r="J103" s="553">
        <f>$J$11</f>
        <v>0</v>
      </c>
      <c r="K103" s="554">
        <f t="shared" ref="K103:K108" si="38">J103*H103</f>
        <v>0</v>
      </c>
      <c r="L103" s="120"/>
      <c r="M103" s="558"/>
    </row>
    <row r="104" spans="1:13" s="187" customFormat="1" x14ac:dyDescent="0.2">
      <c r="A104" s="111">
        <f>IF(F104&lt;&gt;"",1+MAX($A$6:A103),"")</f>
        <v>79</v>
      </c>
      <c r="B104" s="533" t="s">
        <v>1025</v>
      </c>
      <c r="C104" s="534" t="s">
        <v>1066</v>
      </c>
      <c r="D104" s="122"/>
      <c r="E104" s="555" t="s">
        <v>1052</v>
      </c>
      <c r="F104" s="552">
        <f>80*1.25*2</f>
        <v>200</v>
      </c>
      <c r="G104" s="436">
        <v>0.1</v>
      </c>
      <c r="H104" s="539">
        <f t="shared" si="37"/>
        <v>220.00000000000003</v>
      </c>
      <c r="I104" s="540" t="s">
        <v>1030</v>
      </c>
      <c r="J104" s="553">
        <f>J$70</f>
        <v>0</v>
      </c>
      <c r="K104" s="554">
        <f t="shared" si="38"/>
        <v>0</v>
      </c>
      <c r="L104" s="120"/>
      <c r="M104" s="558"/>
    </row>
    <row r="105" spans="1:13" s="187" customFormat="1" x14ac:dyDescent="0.2">
      <c r="A105" s="111">
        <f>IF(F105&lt;&gt;"",1+MAX($A$6:A104),"")</f>
        <v>80</v>
      </c>
      <c r="B105" s="533" t="s">
        <v>1025</v>
      </c>
      <c r="C105" s="534" t="s">
        <v>1066</v>
      </c>
      <c r="D105" s="122"/>
      <c r="E105" s="555" t="s">
        <v>1031</v>
      </c>
      <c r="F105" s="552">
        <f>80*4.5*2/27</f>
        <v>26.666666666666668</v>
      </c>
      <c r="G105" s="436">
        <v>0.1</v>
      </c>
      <c r="H105" s="539">
        <f t="shared" si="37"/>
        <v>29.333333333333336</v>
      </c>
      <c r="I105" s="540" t="s">
        <v>1028</v>
      </c>
      <c r="J105" s="553">
        <f>$J$13</f>
        <v>0</v>
      </c>
      <c r="K105" s="554">
        <f t="shared" si="38"/>
        <v>0</v>
      </c>
      <c r="L105" s="120"/>
      <c r="M105" s="558"/>
    </row>
    <row r="106" spans="1:13" s="187" customFormat="1" x14ac:dyDescent="0.2">
      <c r="A106" s="111">
        <f>IF(F106&lt;&gt;"",1+MAX($A$6:A105),"")</f>
        <v>81</v>
      </c>
      <c r="B106" s="533" t="s">
        <v>1025</v>
      </c>
      <c r="C106" s="534" t="s">
        <v>1066</v>
      </c>
      <c r="D106" s="122"/>
      <c r="E106" s="555" t="s">
        <v>1032</v>
      </c>
      <c r="F106" s="552">
        <f>F105-F103</f>
        <v>13.703703703703704</v>
      </c>
      <c r="G106" s="436">
        <v>0.1</v>
      </c>
      <c r="H106" s="539">
        <f t="shared" si="37"/>
        <v>15.074074074074076</v>
      </c>
      <c r="I106" s="540" t="s">
        <v>1028</v>
      </c>
      <c r="J106" s="553">
        <f>$J$14</f>
        <v>0</v>
      </c>
      <c r="K106" s="554">
        <f t="shared" si="38"/>
        <v>0</v>
      </c>
      <c r="L106" s="120"/>
      <c r="M106" s="558"/>
    </row>
    <row r="107" spans="1:13" s="187" customFormat="1" x14ac:dyDescent="0.2">
      <c r="A107" s="111">
        <f>IF(F107&lt;&gt;"",1+MAX($A$6:A106),"")</f>
        <v>82</v>
      </c>
      <c r="B107" s="533" t="s">
        <v>1025</v>
      </c>
      <c r="C107" s="534" t="s">
        <v>1066</v>
      </c>
      <c r="D107" s="122"/>
      <c r="E107" s="555" t="s">
        <v>1053</v>
      </c>
      <c r="F107" s="552">
        <f>4*80*1.043*1.2</f>
        <v>400.512</v>
      </c>
      <c r="G107" s="436">
        <v>0.1</v>
      </c>
      <c r="H107" s="539">
        <f t="shared" si="37"/>
        <v>440.56320000000005</v>
      </c>
      <c r="I107" s="540" t="s">
        <v>427</v>
      </c>
      <c r="J107" s="553">
        <f t="shared" ref="J107:J108" si="39">$J$15</f>
        <v>0</v>
      </c>
      <c r="K107" s="554">
        <f t="shared" si="38"/>
        <v>0</v>
      </c>
      <c r="L107" s="120"/>
      <c r="M107" s="558"/>
    </row>
    <row r="108" spans="1:13" s="187" customFormat="1" x14ac:dyDescent="0.2">
      <c r="A108" s="111">
        <f>IF(F108&lt;&gt;"",1+MAX($A$6:A107),"")</f>
        <v>83</v>
      </c>
      <c r="B108" s="533" t="s">
        <v>1025</v>
      </c>
      <c r="C108" s="534" t="s">
        <v>1066</v>
      </c>
      <c r="D108" s="122"/>
      <c r="E108" s="555" t="s">
        <v>1054</v>
      </c>
      <c r="F108" s="552">
        <f>81*3.5*1.5*1.2</f>
        <v>510.29999999999995</v>
      </c>
      <c r="G108" s="436">
        <v>0.1</v>
      </c>
      <c r="H108" s="539">
        <f t="shared" si="37"/>
        <v>561.33000000000004</v>
      </c>
      <c r="I108" s="540" t="s">
        <v>427</v>
      </c>
      <c r="J108" s="553">
        <f t="shared" si="39"/>
        <v>0</v>
      </c>
      <c r="K108" s="554">
        <f t="shared" si="38"/>
        <v>0</v>
      </c>
      <c r="L108" s="120"/>
      <c r="M108" s="558"/>
    </row>
    <row r="109" spans="1:13" s="187" customFormat="1" ht="63" x14ac:dyDescent="0.2">
      <c r="A109" s="111" t="str">
        <f>IF(F109&lt;&gt;"",1+MAX($A$6:A108),"")</f>
        <v/>
      </c>
      <c r="B109" s="533"/>
      <c r="C109" s="534"/>
      <c r="D109" s="550"/>
      <c r="E109" s="551" t="s">
        <v>1067</v>
      </c>
      <c r="F109" s="552"/>
      <c r="G109" s="127"/>
      <c r="H109" s="539"/>
      <c r="I109" s="540"/>
      <c r="J109" s="553"/>
      <c r="K109" s="554"/>
      <c r="L109" s="120"/>
    </row>
    <row r="110" spans="1:13" s="187" customFormat="1" x14ac:dyDescent="0.2">
      <c r="A110" s="111">
        <f>IF(F110&lt;&gt;"",1+MAX($A$6:A109),"")</f>
        <v>84</v>
      </c>
      <c r="B110" s="533" t="s">
        <v>1025</v>
      </c>
      <c r="C110" s="534" t="s">
        <v>1068</v>
      </c>
      <c r="D110" s="122"/>
      <c r="E110" s="555" t="s">
        <v>1027</v>
      </c>
      <c r="F110" s="552">
        <f>17*3*1.25/27</f>
        <v>2.3611111111111112</v>
      </c>
      <c r="G110" s="436">
        <v>0.1</v>
      </c>
      <c r="H110" s="539">
        <f t="shared" ref="H110:H115" si="40">F110*(1+G110)</f>
        <v>2.5972222222222223</v>
      </c>
      <c r="I110" s="540" t="s">
        <v>1028</v>
      </c>
      <c r="J110" s="553">
        <f>$J$11</f>
        <v>0</v>
      </c>
      <c r="K110" s="554">
        <f t="shared" ref="K110:K115" si="41">J110*H110</f>
        <v>0</v>
      </c>
      <c r="L110" s="120"/>
      <c r="M110" s="558"/>
    </row>
    <row r="111" spans="1:13" s="187" customFormat="1" x14ac:dyDescent="0.2">
      <c r="A111" s="111">
        <f>IF(F111&lt;&gt;"",1+MAX($A$6:A110),"")</f>
        <v>85</v>
      </c>
      <c r="B111" s="533" t="s">
        <v>1025</v>
      </c>
      <c r="C111" s="534" t="s">
        <v>1068</v>
      </c>
      <c r="D111" s="122"/>
      <c r="E111" s="555" t="s">
        <v>1052</v>
      </c>
      <c r="F111" s="552">
        <f>17*1.25*2</f>
        <v>42.5</v>
      </c>
      <c r="G111" s="436">
        <v>0.1</v>
      </c>
      <c r="H111" s="539">
        <f t="shared" si="40"/>
        <v>46.750000000000007</v>
      </c>
      <c r="I111" s="540" t="s">
        <v>1030</v>
      </c>
      <c r="J111" s="553">
        <f>J$70</f>
        <v>0</v>
      </c>
      <c r="K111" s="554">
        <f t="shared" si="41"/>
        <v>0</v>
      </c>
      <c r="L111" s="120"/>
      <c r="M111" s="558"/>
    </row>
    <row r="112" spans="1:13" s="187" customFormat="1" x14ac:dyDescent="0.2">
      <c r="A112" s="111">
        <f>IF(F112&lt;&gt;"",1+MAX($A$6:A111),"")</f>
        <v>86</v>
      </c>
      <c r="B112" s="533" t="s">
        <v>1025</v>
      </c>
      <c r="C112" s="534" t="s">
        <v>1068</v>
      </c>
      <c r="D112" s="122"/>
      <c r="E112" s="555" t="s">
        <v>1031</v>
      </c>
      <c r="F112" s="552">
        <f>17*4*2/27</f>
        <v>5.0370370370370372</v>
      </c>
      <c r="G112" s="436">
        <v>0.1</v>
      </c>
      <c r="H112" s="539">
        <f t="shared" si="40"/>
        <v>5.5407407407407412</v>
      </c>
      <c r="I112" s="540" t="s">
        <v>1028</v>
      </c>
      <c r="J112" s="553">
        <f>$J$13</f>
        <v>0</v>
      </c>
      <c r="K112" s="554">
        <f t="shared" si="41"/>
        <v>0</v>
      </c>
      <c r="L112" s="120"/>
      <c r="M112" s="558"/>
    </row>
    <row r="113" spans="1:13" s="187" customFormat="1" x14ac:dyDescent="0.2">
      <c r="A113" s="111">
        <f>IF(F113&lt;&gt;"",1+MAX($A$6:A112),"")</f>
        <v>87</v>
      </c>
      <c r="B113" s="533" t="s">
        <v>1025</v>
      </c>
      <c r="C113" s="534" t="s">
        <v>1068</v>
      </c>
      <c r="D113" s="122"/>
      <c r="E113" s="555" t="s">
        <v>1032</v>
      </c>
      <c r="F113" s="552">
        <f>F112-F110</f>
        <v>2.675925925925926</v>
      </c>
      <c r="G113" s="436">
        <v>0.1</v>
      </c>
      <c r="H113" s="539">
        <f t="shared" si="40"/>
        <v>2.9435185185185189</v>
      </c>
      <c r="I113" s="540" t="s">
        <v>1028</v>
      </c>
      <c r="J113" s="553">
        <f>$J$14</f>
        <v>0</v>
      </c>
      <c r="K113" s="554">
        <f t="shared" si="41"/>
        <v>0</v>
      </c>
      <c r="L113" s="120"/>
      <c r="M113" s="558"/>
    </row>
    <row r="114" spans="1:13" s="187" customFormat="1" x14ac:dyDescent="0.2">
      <c r="A114" s="111">
        <f>IF(F114&lt;&gt;"",1+MAX($A$6:A113),"")</f>
        <v>88</v>
      </c>
      <c r="B114" s="533" t="s">
        <v>1025</v>
      </c>
      <c r="C114" s="534" t="s">
        <v>1068</v>
      </c>
      <c r="D114" s="122"/>
      <c r="E114" s="555" t="s">
        <v>1053</v>
      </c>
      <c r="F114" s="552">
        <f>4*17*1.043*1.2</f>
        <v>85.108799999999988</v>
      </c>
      <c r="G114" s="436">
        <v>0.1</v>
      </c>
      <c r="H114" s="539">
        <f t="shared" si="40"/>
        <v>93.619679999999988</v>
      </c>
      <c r="I114" s="540" t="s">
        <v>427</v>
      </c>
      <c r="J114" s="553">
        <f t="shared" ref="J114:J115" si="42">$J$15</f>
        <v>0</v>
      </c>
      <c r="K114" s="554">
        <f t="shared" si="41"/>
        <v>0</v>
      </c>
      <c r="L114" s="120"/>
      <c r="M114" s="558"/>
    </row>
    <row r="115" spans="1:13" s="187" customFormat="1" x14ac:dyDescent="0.2">
      <c r="A115" s="111">
        <f>IF(F115&lt;&gt;"",1+MAX($A$6:A114),"")</f>
        <v>89</v>
      </c>
      <c r="B115" s="533" t="s">
        <v>1025</v>
      </c>
      <c r="C115" s="534" t="s">
        <v>1068</v>
      </c>
      <c r="D115" s="122"/>
      <c r="E115" s="555" t="s">
        <v>1054</v>
      </c>
      <c r="F115" s="552">
        <f>18*3*1.5*1.2</f>
        <v>97.2</v>
      </c>
      <c r="G115" s="436">
        <v>0.1</v>
      </c>
      <c r="H115" s="539">
        <f t="shared" si="40"/>
        <v>106.92000000000002</v>
      </c>
      <c r="I115" s="540" t="s">
        <v>427</v>
      </c>
      <c r="J115" s="553">
        <f t="shared" si="42"/>
        <v>0</v>
      </c>
      <c r="K115" s="554">
        <f t="shared" si="41"/>
        <v>0</v>
      </c>
      <c r="L115" s="120"/>
      <c r="M115" s="558"/>
    </row>
    <row r="116" spans="1:13" s="187" customFormat="1" ht="63" x14ac:dyDescent="0.2">
      <c r="A116" s="111" t="str">
        <f>IF(F116&lt;&gt;"",1+MAX($A$6:A115),"")</f>
        <v/>
      </c>
      <c r="B116" s="533"/>
      <c r="C116" s="534"/>
      <c r="D116" s="550"/>
      <c r="E116" s="551" t="s">
        <v>1069</v>
      </c>
      <c r="F116" s="552"/>
      <c r="G116" s="127"/>
      <c r="H116" s="539"/>
      <c r="I116" s="540"/>
      <c r="J116" s="553"/>
      <c r="K116" s="554"/>
      <c r="L116" s="120"/>
    </row>
    <row r="117" spans="1:13" s="187" customFormat="1" x14ac:dyDescent="0.2">
      <c r="A117" s="111">
        <f>IF(F117&lt;&gt;"",1+MAX($A$6:A116),"")</f>
        <v>90</v>
      </c>
      <c r="B117" s="533" t="s">
        <v>1025</v>
      </c>
      <c r="C117" s="534" t="s">
        <v>1070</v>
      </c>
      <c r="D117" s="122"/>
      <c r="E117" s="555" t="s">
        <v>1027</v>
      </c>
      <c r="F117" s="552">
        <f>42*2.5*1/27</f>
        <v>3.8888888888888888</v>
      </c>
      <c r="G117" s="436">
        <v>0.1</v>
      </c>
      <c r="H117" s="539">
        <f t="shared" ref="H117:H122" si="43">F117*(1+G117)</f>
        <v>4.2777777777777777</v>
      </c>
      <c r="I117" s="540" t="s">
        <v>1028</v>
      </c>
      <c r="J117" s="553">
        <f>$J$11</f>
        <v>0</v>
      </c>
      <c r="K117" s="554">
        <f t="shared" ref="K117:K122" si="44">J117*H117</f>
        <v>0</v>
      </c>
      <c r="L117" s="120"/>
      <c r="M117" s="558"/>
    </row>
    <row r="118" spans="1:13" s="187" customFormat="1" x14ac:dyDescent="0.2">
      <c r="A118" s="111">
        <f>IF(F118&lt;&gt;"",1+MAX($A$6:A117),"")</f>
        <v>91</v>
      </c>
      <c r="B118" s="533" t="s">
        <v>1025</v>
      </c>
      <c r="C118" s="534" t="s">
        <v>1070</v>
      </c>
      <c r="D118" s="122"/>
      <c r="E118" s="555" t="s">
        <v>1052</v>
      </c>
      <c r="F118" s="552">
        <f>42*1*2</f>
        <v>84</v>
      </c>
      <c r="G118" s="436">
        <v>0.1</v>
      </c>
      <c r="H118" s="539">
        <f t="shared" si="43"/>
        <v>92.4</v>
      </c>
      <c r="I118" s="540" t="s">
        <v>1030</v>
      </c>
      <c r="J118" s="553">
        <f>J$70</f>
        <v>0</v>
      </c>
      <c r="K118" s="554">
        <f t="shared" si="44"/>
        <v>0</v>
      </c>
      <c r="L118" s="120"/>
      <c r="M118" s="558"/>
    </row>
    <row r="119" spans="1:13" s="187" customFormat="1" x14ac:dyDescent="0.2">
      <c r="A119" s="111">
        <f>IF(F119&lt;&gt;"",1+MAX($A$6:A118),"")</f>
        <v>92</v>
      </c>
      <c r="B119" s="533" t="s">
        <v>1025</v>
      </c>
      <c r="C119" s="534" t="s">
        <v>1070</v>
      </c>
      <c r="D119" s="122"/>
      <c r="E119" s="555" t="s">
        <v>1031</v>
      </c>
      <c r="F119" s="552">
        <f>42*3.5*1/27</f>
        <v>5.4444444444444446</v>
      </c>
      <c r="G119" s="436">
        <v>0.1</v>
      </c>
      <c r="H119" s="539">
        <f t="shared" si="43"/>
        <v>5.9888888888888898</v>
      </c>
      <c r="I119" s="540" t="s">
        <v>1028</v>
      </c>
      <c r="J119" s="553">
        <f>$J$13</f>
        <v>0</v>
      </c>
      <c r="K119" s="554">
        <f t="shared" si="44"/>
        <v>0</v>
      </c>
      <c r="L119" s="120"/>
      <c r="M119" s="558"/>
    </row>
    <row r="120" spans="1:13" s="187" customFormat="1" x14ac:dyDescent="0.2">
      <c r="A120" s="111">
        <f>IF(F120&lt;&gt;"",1+MAX($A$6:A119),"")</f>
        <v>93</v>
      </c>
      <c r="B120" s="533" t="s">
        <v>1025</v>
      </c>
      <c r="C120" s="534" t="s">
        <v>1070</v>
      </c>
      <c r="D120" s="122"/>
      <c r="E120" s="555" t="s">
        <v>1032</v>
      </c>
      <c r="F120" s="552">
        <f>F119-F117</f>
        <v>1.5555555555555558</v>
      </c>
      <c r="G120" s="436">
        <v>0.1</v>
      </c>
      <c r="H120" s="539">
        <f t="shared" si="43"/>
        <v>1.7111111111111115</v>
      </c>
      <c r="I120" s="540" t="s">
        <v>1028</v>
      </c>
      <c r="J120" s="553">
        <f>$J$14</f>
        <v>0</v>
      </c>
      <c r="K120" s="554">
        <f t="shared" si="44"/>
        <v>0</v>
      </c>
      <c r="L120" s="120"/>
      <c r="M120" s="558"/>
    </row>
    <row r="121" spans="1:13" s="187" customFormat="1" x14ac:dyDescent="0.2">
      <c r="A121" s="111">
        <f>IF(F121&lt;&gt;"",1+MAX($A$6:A120),"")</f>
        <v>94</v>
      </c>
      <c r="B121" s="533" t="s">
        <v>1025</v>
      </c>
      <c r="C121" s="534" t="s">
        <v>1070</v>
      </c>
      <c r="D121" s="122"/>
      <c r="E121" s="555" t="s">
        <v>1060</v>
      </c>
      <c r="F121" s="552">
        <f>3*42*1.043*1.2</f>
        <v>157.70159999999996</v>
      </c>
      <c r="G121" s="436">
        <v>0.1</v>
      </c>
      <c r="H121" s="539">
        <f t="shared" si="43"/>
        <v>173.47175999999996</v>
      </c>
      <c r="I121" s="540" t="s">
        <v>427</v>
      </c>
      <c r="J121" s="553">
        <f t="shared" ref="J121:J122" si="45">$J$15</f>
        <v>0</v>
      </c>
      <c r="K121" s="554">
        <f t="shared" si="44"/>
        <v>0</v>
      </c>
      <c r="L121" s="120"/>
      <c r="M121" s="558"/>
    </row>
    <row r="122" spans="1:13" s="187" customFormat="1" x14ac:dyDescent="0.2">
      <c r="A122" s="111">
        <f>IF(F122&lt;&gt;"",1+MAX($A$6:A121),"")</f>
        <v>95</v>
      </c>
      <c r="B122" s="533" t="s">
        <v>1025</v>
      </c>
      <c r="C122" s="534" t="s">
        <v>1070</v>
      </c>
      <c r="D122" s="122"/>
      <c r="E122" s="555" t="s">
        <v>1071</v>
      </c>
      <c r="F122" s="552">
        <f>43*2.5*1.043*1.2</f>
        <v>134.54699999999997</v>
      </c>
      <c r="G122" s="436">
        <v>0.1</v>
      </c>
      <c r="H122" s="539">
        <f t="shared" si="43"/>
        <v>148.00169999999997</v>
      </c>
      <c r="I122" s="540" t="s">
        <v>427</v>
      </c>
      <c r="J122" s="553">
        <f t="shared" si="45"/>
        <v>0</v>
      </c>
      <c r="K122" s="554">
        <f t="shared" si="44"/>
        <v>0</v>
      </c>
      <c r="L122" s="120"/>
      <c r="M122" s="558"/>
    </row>
    <row r="123" spans="1:13" s="187" customFormat="1" ht="63" x14ac:dyDescent="0.2">
      <c r="A123" s="111" t="str">
        <f>IF(F123&lt;&gt;"",1+MAX($A$6:A122),"")</f>
        <v/>
      </c>
      <c r="B123" s="533"/>
      <c r="C123" s="534"/>
      <c r="D123" s="550"/>
      <c r="E123" s="551" t="s">
        <v>1072</v>
      </c>
      <c r="F123" s="552"/>
      <c r="G123" s="127"/>
      <c r="H123" s="539"/>
      <c r="I123" s="540"/>
      <c r="J123" s="553"/>
      <c r="K123" s="554"/>
      <c r="L123" s="120"/>
    </row>
    <row r="124" spans="1:13" s="187" customFormat="1" x14ac:dyDescent="0.2">
      <c r="A124" s="111">
        <f>IF(F124&lt;&gt;"",1+MAX($A$6:A123),"")</f>
        <v>96</v>
      </c>
      <c r="B124" s="533" t="s">
        <v>1025</v>
      </c>
      <c r="C124" s="534" t="s">
        <v>1070</v>
      </c>
      <c r="D124" s="122"/>
      <c r="E124" s="555" t="s">
        <v>1027</v>
      </c>
      <c r="F124" s="552">
        <f>14*1*2/27</f>
        <v>1.037037037037037</v>
      </c>
      <c r="G124" s="436">
        <v>0.1</v>
      </c>
      <c r="H124" s="539">
        <f t="shared" ref="H124:H129" si="46">F124*(1+G124)</f>
        <v>1.1407407407407408</v>
      </c>
      <c r="I124" s="540" t="s">
        <v>1028</v>
      </c>
      <c r="J124" s="553">
        <f>$J$11</f>
        <v>0</v>
      </c>
      <c r="K124" s="554">
        <f t="shared" ref="K124:K129" si="47">J124*H124</f>
        <v>0</v>
      </c>
      <c r="L124" s="120"/>
      <c r="M124" s="558"/>
    </row>
    <row r="125" spans="1:13" s="187" customFormat="1" x14ac:dyDescent="0.2">
      <c r="A125" s="111">
        <f>IF(F125&lt;&gt;"",1+MAX($A$6:A124),"")</f>
        <v>97</v>
      </c>
      <c r="B125" s="533" t="s">
        <v>1025</v>
      </c>
      <c r="C125" s="534" t="s">
        <v>1070</v>
      </c>
      <c r="D125" s="122"/>
      <c r="E125" s="555" t="s">
        <v>1052</v>
      </c>
      <c r="F125" s="552">
        <f>14*2*2</f>
        <v>56</v>
      </c>
      <c r="G125" s="436">
        <v>0.1</v>
      </c>
      <c r="H125" s="539">
        <f t="shared" si="46"/>
        <v>61.600000000000009</v>
      </c>
      <c r="I125" s="540" t="s">
        <v>1030</v>
      </c>
      <c r="J125" s="553">
        <f>J$70</f>
        <v>0</v>
      </c>
      <c r="K125" s="554">
        <f t="shared" si="47"/>
        <v>0</v>
      </c>
      <c r="L125" s="120"/>
      <c r="M125" s="558"/>
    </row>
    <row r="126" spans="1:13" s="187" customFormat="1" x14ac:dyDescent="0.2">
      <c r="A126" s="111">
        <f>IF(F126&lt;&gt;"",1+MAX($A$6:A125),"")</f>
        <v>98</v>
      </c>
      <c r="B126" s="533" t="s">
        <v>1025</v>
      </c>
      <c r="C126" s="534" t="s">
        <v>1070</v>
      </c>
      <c r="D126" s="122"/>
      <c r="E126" s="555" t="s">
        <v>1031</v>
      </c>
      <c r="F126" s="552">
        <f>14*2*2/27</f>
        <v>2.074074074074074</v>
      </c>
      <c r="G126" s="436">
        <v>0.1</v>
      </c>
      <c r="H126" s="539">
        <f t="shared" si="46"/>
        <v>2.2814814814814817</v>
      </c>
      <c r="I126" s="540" t="s">
        <v>1028</v>
      </c>
      <c r="J126" s="553">
        <f>$J$13</f>
        <v>0</v>
      </c>
      <c r="K126" s="554">
        <f t="shared" si="47"/>
        <v>0</v>
      </c>
      <c r="L126" s="120"/>
      <c r="M126" s="558"/>
    </row>
    <row r="127" spans="1:13" s="187" customFormat="1" x14ac:dyDescent="0.2">
      <c r="A127" s="111">
        <f>IF(F127&lt;&gt;"",1+MAX($A$6:A126),"")</f>
        <v>99</v>
      </c>
      <c r="B127" s="533" t="s">
        <v>1025</v>
      </c>
      <c r="C127" s="534" t="s">
        <v>1070</v>
      </c>
      <c r="D127" s="122"/>
      <c r="E127" s="555" t="s">
        <v>1032</v>
      </c>
      <c r="F127" s="552">
        <f>F126-F124</f>
        <v>1.037037037037037</v>
      </c>
      <c r="G127" s="436">
        <v>0.1</v>
      </c>
      <c r="H127" s="539">
        <f t="shared" si="46"/>
        <v>1.1407407407407408</v>
      </c>
      <c r="I127" s="540" t="s">
        <v>1028</v>
      </c>
      <c r="J127" s="553">
        <f>$J$14</f>
        <v>0</v>
      </c>
      <c r="K127" s="554">
        <f t="shared" si="47"/>
        <v>0</v>
      </c>
      <c r="L127" s="120"/>
      <c r="M127" s="558"/>
    </row>
    <row r="128" spans="1:13" s="187" customFormat="1" x14ac:dyDescent="0.2">
      <c r="A128" s="111">
        <f>IF(F128&lt;&gt;"",1+MAX($A$6:A127),"")</f>
        <v>100</v>
      </c>
      <c r="B128" s="533" t="s">
        <v>1025</v>
      </c>
      <c r="C128" s="534" t="s">
        <v>1070</v>
      </c>
      <c r="D128" s="122"/>
      <c r="E128" s="555" t="s">
        <v>1073</v>
      </c>
      <c r="F128" s="552">
        <f>2*14*1.043*1.2*2</f>
        <v>70.08959999999999</v>
      </c>
      <c r="G128" s="436">
        <v>0.1</v>
      </c>
      <c r="H128" s="539">
        <f t="shared" si="46"/>
        <v>77.098559999999992</v>
      </c>
      <c r="I128" s="540" t="s">
        <v>427</v>
      </c>
      <c r="J128" s="553">
        <f t="shared" ref="J128:J129" si="48">$J$15</f>
        <v>0</v>
      </c>
      <c r="K128" s="554">
        <f t="shared" si="47"/>
        <v>0</v>
      </c>
      <c r="L128" s="120"/>
      <c r="M128" s="558"/>
    </row>
    <row r="129" spans="1:13" s="187" customFormat="1" x14ac:dyDescent="0.2">
      <c r="A129" s="111">
        <f>IF(F129&lt;&gt;"",1+MAX($A$6:A128),"")</f>
        <v>101</v>
      </c>
      <c r="B129" s="533" t="s">
        <v>1025</v>
      </c>
      <c r="C129" s="534" t="s">
        <v>1070</v>
      </c>
      <c r="D129" s="122"/>
      <c r="E129" s="555" t="s">
        <v>1074</v>
      </c>
      <c r="F129" s="552">
        <f>15*3*1.043*1.2</f>
        <v>56.321999999999996</v>
      </c>
      <c r="G129" s="436">
        <v>0.1</v>
      </c>
      <c r="H129" s="539">
        <f t="shared" si="46"/>
        <v>61.9542</v>
      </c>
      <c r="I129" s="540" t="s">
        <v>427</v>
      </c>
      <c r="J129" s="553">
        <f t="shared" si="48"/>
        <v>0</v>
      </c>
      <c r="K129" s="554">
        <f t="shared" si="47"/>
        <v>0</v>
      </c>
      <c r="L129" s="120"/>
      <c r="M129" s="558"/>
    </row>
    <row r="130" spans="1:13" s="187" customFormat="1" ht="63" x14ac:dyDescent="0.2">
      <c r="A130" s="111" t="str">
        <f>IF(F130&lt;&gt;"",1+MAX($A$6:A129),"")</f>
        <v/>
      </c>
      <c r="B130" s="533"/>
      <c r="C130" s="534"/>
      <c r="D130" s="550"/>
      <c r="E130" s="551" t="s">
        <v>1075</v>
      </c>
      <c r="F130" s="552"/>
      <c r="G130" s="127"/>
      <c r="H130" s="539"/>
      <c r="I130" s="540"/>
      <c r="J130" s="553"/>
      <c r="K130" s="554"/>
      <c r="L130" s="120"/>
    </row>
    <row r="131" spans="1:13" s="187" customFormat="1" x14ac:dyDescent="0.2">
      <c r="A131" s="111">
        <f>IF(F131&lt;&gt;"",1+MAX($A$6:A130),"")</f>
        <v>102</v>
      </c>
      <c r="B131" s="533" t="s">
        <v>1025</v>
      </c>
      <c r="C131" s="534" t="s">
        <v>1076</v>
      </c>
      <c r="D131" s="122"/>
      <c r="E131" s="555" t="s">
        <v>1027</v>
      </c>
      <c r="F131" s="552">
        <f>70*5*1.17/27</f>
        <v>15.166666666666666</v>
      </c>
      <c r="G131" s="436">
        <v>0.1</v>
      </c>
      <c r="H131" s="539">
        <f t="shared" ref="H131:H136" si="49">F131*(1+G131)</f>
        <v>16.683333333333334</v>
      </c>
      <c r="I131" s="540" t="s">
        <v>1028</v>
      </c>
      <c r="J131" s="553">
        <f>$J$11</f>
        <v>0</v>
      </c>
      <c r="K131" s="554">
        <f t="shared" ref="K131:K136" si="50">J131*H131</f>
        <v>0</v>
      </c>
      <c r="L131" s="120"/>
      <c r="M131" s="558"/>
    </row>
    <row r="132" spans="1:13" s="187" customFormat="1" x14ac:dyDescent="0.2">
      <c r="A132" s="111">
        <f>IF(F132&lt;&gt;"",1+MAX($A$6:A131),"")</f>
        <v>103</v>
      </c>
      <c r="B132" s="533" t="s">
        <v>1025</v>
      </c>
      <c r="C132" s="534" t="s">
        <v>1076</v>
      </c>
      <c r="D132" s="122"/>
      <c r="E132" s="555" t="s">
        <v>1052</v>
      </c>
      <c r="F132" s="552">
        <f>70*1.17*2</f>
        <v>163.79999999999998</v>
      </c>
      <c r="G132" s="436">
        <v>0.1</v>
      </c>
      <c r="H132" s="539">
        <f t="shared" si="49"/>
        <v>180.18</v>
      </c>
      <c r="I132" s="540" t="s">
        <v>1030</v>
      </c>
      <c r="J132" s="553">
        <f>J$70</f>
        <v>0</v>
      </c>
      <c r="K132" s="554">
        <f t="shared" si="50"/>
        <v>0</v>
      </c>
      <c r="L132" s="120"/>
      <c r="M132" s="558"/>
    </row>
    <row r="133" spans="1:13" s="187" customFormat="1" x14ac:dyDescent="0.2">
      <c r="A133" s="111">
        <f>IF(F133&lt;&gt;"",1+MAX($A$6:A132),"")</f>
        <v>104</v>
      </c>
      <c r="B133" s="533" t="s">
        <v>1025</v>
      </c>
      <c r="C133" s="534" t="s">
        <v>1076</v>
      </c>
      <c r="D133" s="122"/>
      <c r="E133" s="555" t="s">
        <v>1031</v>
      </c>
      <c r="F133" s="552">
        <f>70*6*2/27</f>
        <v>31.111111111111111</v>
      </c>
      <c r="G133" s="436">
        <v>0.1</v>
      </c>
      <c r="H133" s="539">
        <f t="shared" si="49"/>
        <v>34.222222222222221</v>
      </c>
      <c r="I133" s="540" t="s">
        <v>1028</v>
      </c>
      <c r="J133" s="553">
        <f>$J$13</f>
        <v>0</v>
      </c>
      <c r="K133" s="554">
        <f t="shared" si="50"/>
        <v>0</v>
      </c>
      <c r="L133" s="120"/>
      <c r="M133" s="558"/>
    </row>
    <row r="134" spans="1:13" s="187" customFormat="1" x14ac:dyDescent="0.2">
      <c r="A134" s="111">
        <f>IF(F134&lt;&gt;"",1+MAX($A$6:A133),"")</f>
        <v>105</v>
      </c>
      <c r="B134" s="533" t="s">
        <v>1025</v>
      </c>
      <c r="C134" s="534" t="s">
        <v>1076</v>
      </c>
      <c r="D134" s="122"/>
      <c r="E134" s="555" t="s">
        <v>1032</v>
      </c>
      <c r="F134" s="552">
        <f>F133-F131</f>
        <v>15.944444444444445</v>
      </c>
      <c r="G134" s="436">
        <v>0.1</v>
      </c>
      <c r="H134" s="539">
        <f t="shared" si="49"/>
        <v>17.538888888888891</v>
      </c>
      <c r="I134" s="540" t="s">
        <v>1028</v>
      </c>
      <c r="J134" s="553">
        <f>$J$14</f>
        <v>0</v>
      </c>
      <c r="K134" s="554">
        <f t="shared" si="50"/>
        <v>0</v>
      </c>
      <c r="L134" s="120"/>
      <c r="M134" s="558"/>
    </row>
    <row r="135" spans="1:13" s="187" customFormat="1" x14ac:dyDescent="0.2">
      <c r="A135" s="111">
        <f>IF(F135&lt;&gt;"",1+MAX($A$6:A134),"")</f>
        <v>106</v>
      </c>
      <c r="B135" s="533" t="s">
        <v>1025</v>
      </c>
      <c r="C135" s="534" t="s">
        <v>1076</v>
      </c>
      <c r="D135" s="122"/>
      <c r="E135" s="555" t="s">
        <v>1077</v>
      </c>
      <c r="F135" s="552">
        <f>2*70*0.668*1.2</f>
        <v>112.224</v>
      </c>
      <c r="G135" s="436">
        <v>0.1</v>
      </c>
      <c r="H135" s="539">
        <f t="shared" si="49"/>
        <v>123.44640000000001</v>
      </c>
      <c r="I135" s="540" t="s">
        <v>427</v>
      </c>
      <c r="J135" s="553">
        <f t="shared" ref="J135:J136" si="51">$J$15</f>
        <v>0</v>
      </c>
      <c r="K135" s="554">
        <f t="shared" si="50"/>
        <v>0</v>
      </c>
      <c r="L135" s="120"/>
      <c r="M135" s="558"/>
    </row>
    <row r="136" spans="1:13" s="187" customFormat="1" x14ac:dyDescent="0.2">
      <c r="A136" s="111">
        <f>IF(F136&lt;&gt;"",1+MAX($A$6:A135),"")</f>
        <v>107</v>
      </c>
      <c r="B136" s="533" t="s">
        <v>1025</v>
      </c>
      <c r="C136" s="534" t="s">
        <v>1076</v>
      </c>
      <c r="D136" s="122"/>
      <c r="E136" s="555" t="s">
        <v>1078</v>
      </c>
      <c r="F136" s="552">
        <f>70*5*1.043*1.2*2</f>
        <v>876.11999999999989</v>
      </c>
      <c r="G136" s="436">
        <v>0.1</v>
      </c>
      <c r="H136" s="539">
        <f t="shared" si="49"/>
        <v>963.73199999999997</v>
      </c>
      <c r="I136" s="540" t="s">
        <v>427</v>
      </c>
      <c r="J136" s="553">
        <f t="shared" si="51"/>
        <v>0</v>
      </c>
      <c r="K136" s="554">
        <f t="shared" si="50"/>
        <v>0</v>
      </c>
      <c r="L136" s="120"/>
      <c r="M136" s="558"/>
    </row>
    <row r="137" spans="1:13" s="187" customFormat="1" ht="63" x14ac:dyDescent="0.2">
      <c r="A137" s="111" t="str">
        <f>IF(F137&lt;&gt;"",1+MAX($A$6:A136),"")</f>
        <v/>
      </c>
      <c r="B137" s="533"/>
      <c r="C137" s="534"/>
      <c r="D137" s="550"/>
      <c r="E137" s="551" t="s">
        <v>1079</v>
      </c>
      <c r="F137" s="552"/>
      <c r="G137" s="127"/>
      <c r="H137" s="539"/>
      <c r="I137" s="540"/>
      <c r="J137" s="553"/>
      <c r="K137" s="554"/>
      <c r="L137" s="120"/>
    </row>
    <row r="138" spans="1:13" s="187" customFormat="1" x14ac:dyDescent="0.2">
      <c r="A138" s="111">
        <f>IF(F138&lt;&gt;"",1+MAX($A$6:A137),"")</f>
        <v>108</v>
      </c>
      <c r="B138" s="533" t="s">
        <v>1025</v>
      </c>
      <c r="C138" s="534" t="s">
        <v>1076</v>
      </c>
      <c r="D138" s="122"/>
      <c r="E138" s="555" t="s">
        <v>1027</v>
      </c>
      <c r="F138" s="552">
        <f>75*3*1.17/27</f>
        <v>9.75</v>
      </c>
      <c r="G138" s="436">
        <v>0.1</v>
      </c>
      <c r="H138" s="539">
        <f t="shared" ref="H138:H143" si="52">F138*(1+G138)</f>
        <v>10.725000000000001</v>
      </c>
      <c r="I138" s="540" t="s">
        <v>1028</v>
      </c>
      <c r="J138" s="553">
        <f>$J$11</f>
        <v>0</v>
      </c>
      <c r="K138" s="554">
        <f t="shared" ref="K138:K143" si="53">J138*H138</f>
        <v>0</v>
      </c>
      <c r="L138" s="120"/>
      <c r="M138" s="558"/>
    </row>
    <row r="139" spans="1:13" s="187" customFormat="1" x14ac:dyDescent="0.2">
      <c r="A139" s="111">
        <f>IF(F139&lt;&gt;"",1+MAX($A$6:A138),"")</f>
        <v>109</v>
      </c>
      <c r="B139" s="533" t="s">
        <v>1025</v>
      </c>
      <c r="C139" s="534" t="s">
        <v>1076</v>
      </c>
      <c r="D139" s="122"/>
      <c r="E139" s="555" t="s">
        <v>1052</v>
      </c>
      <c r="F139" s="552">
        <f>75*1.17*2</f>
        <v>175.5</v>
      </c>
      <c r="G139" s="436">
        <v>0.1</v>
      </c>
      <c r="H139" s="539">
        <f t="shared" si="52"/>
        <v>193.05</v>
      </c>
      <c r="I139" s="540" t="s">
        <v>1030</v>
      </c>
      <c r="J139" s="553">
        <f>J$70</f>
        <v>0</v>
      </c>
      <c r="K139" s="554">
        <f t="shared" si="53"/>
        <v>0</v>
      </c>
      <c r="L139" s="120"/>
      <c r="M139" s="558"/>
    </row>
    <row r="140" spans="1:13" s="187" customFormat="1" x14ac:dyDescent="0.2">
      <c r="A140" s="111">
        <f>IF(F140&lt;&gt;"",1+MAX($A$6:A139),"")</f>
        <v>110</v>
      </c>
      <c r="B140" s="533" t="s">
        <v>1025</v>
      </c>
      <c r="C140" s="534" t="s">
        <v>1076</v>
      </c>
      <c r="D140" s="122"/>
      <c r="E140" s="555" t="s">
        <v>1031</v>
      </c>
      <c r="F140" s="552">
        <f>75*4*2/27</f>
        <v>22.222222222222221</v>
      </c>
      <c r="G140" s="436">
        <v>0.1</v>
      </c>
      <c r="H140" s="539">
        <f t="shared" si="52"/>
        <v>24.444444444444446</v>
      </c>
      <c r="I140" s="540" t="s">
        <v>1028</v>
      </c>
      <c r="J140" s="553">
        <f>$J$13</f>
        <v>0</v>
      </c>
      <c r="K140" s="554">
        <f t="shared" si="53"/>
        <v>0</v>
      </c>
      <c r="L140" s="120"/>
      <c r="M140" s="558"/>
    </row>
    <row r="141" spans="1:13" s="187" customFormat="1" x14ac:dyDescent="0.2">
      <c r="A141" s="111">
        <f>IF(F141&lt;&gt;"",1+MAX($A$6:A140),"")</f>
        <v>111</v>
      </c>
      <c r="B141" s="533" t="s">
        <v>1025</v>
      </c>
      <c r="C141" s="534" t="s">
        <v>1076</v>
      </c>
      <c r="D141" s="122"/>
      <c r="E141" s="555" t="s">
        <v>1032</v>
      </c>
      <c r="F141" s="552">
        <f>F140-F138</f>
        <v>12.472222222222221</v>
      </c>
      <c r="G141" s="436">
        <v>0.1</v>
      </c>
      <c r="H141" s="539">
        <f t="shared" si="52"/>
        <v>13.719444444444445</v>
      </c>
      <c r="I141" s="540" t="s">
        <v>1028</v>
      </c>
      <c r="J141" s="553">
        <f>$J$14</f>
        <v>0</v>
      </c>
      <c r="K141" s="554">
        <f t="shared" si="53"/>
        <v>0</v>
      </c>
      <c r="L141" s="120"/>
      <c r="M141" s="558"/>
    </row>
    <row r="142" spans="1:13" s="187" customFormat="1" x14ac:dyDescent="0.2">
      <c r="A142" s="111">
        <f>IF(F142&lt;&gt;"",1+MAX($A$6:A141),"")</f>
        <v>112</v>
      </c>
      <c r="B142" s="533" t="s">
        <v>1025</v>
      </c>
      <c r="C142" s="534" t="s">
        <v>1076</v>
      </c>
      <c r="D142" s="122"/>
      <c r="E142" s="555" t="s">
        <v>1077</v>
      </c>
      <c r="F142" s="552">
        <f>2*75*0.668*1.2</f>
        <v>120.24</v>
      </c>
      <c r="G142" s="436">
        <v>0.1</v>
      </c>
      <c r="H142" s="539">
        <f t="shared" si="52"/>
        <v>132.26400000000001</v>
      </c>
      <c r="I142" s="540" t="s">
        <v>427</v>
      </c>
      <c r="J142" s="553">
        <f t="shared" ref="J142:J143" si="54">$J$15</f>
        <v>0</v>
      </c>
      <c r="K142" s="554">
        <f t="shared" si="53"/>
        <v>0</v>
      </c>
      <c r="L142" s="120"/>
      <c r="M142" s="558"/>
    </row>
    <row r="143" spans="1:13" s="187" customFormat="1" x14ac:dyDescent="0.2">
      <c r="A143" s="111">
        <f>IF(F143&lt;&gt;"",1+MAX($A$6:A142),"")</f>
        <v>113</v>
      </c>
      <c r="B143" s="533" t="s">
        <v>1025</v>
      </c>
      <c r="C143" s="534" t="s">
        <v>1076</v>
      </c>
      <c r="D143" s="122"/>
      <c r="E143" s="555" t="s">
        <v>1078</v>
      </c>
      <c r="F143" s="552">
        <f>75*3*1.043*1.2*2</f>
        <v>563.21999999999991</v>
      </c>
      <c r="G143" s="436">
        <v>0.1</v>
      </c>
      <c r="H143" s="539">
        <f t="shared" si="52"/>
        <v>619.54199999999992</v>
      </c>
      <c r="I143" s="540" t="s">
        <v>427</v>
      </c>
      <c r="J143" s="553">
        <f t="shared" si="54"/>
        <v>0</v>
      </c>
      <c r="K143" s="554">
        <f t="shared" si="53"/>
        <v>0</v>
      </c>
      <c r="L143" s="120"/>
      <c r="M143" s="558"/>
    </row>
    <row r="144" spans="1:13" s="187" customFormat="1" ht="63" x14ac:dyDescent="0.2">
      <c r="A144" s="111" t="str">
        <f>IF(F144&lt;&gt;"",1+MAX($A$6:A143),"")</f>
        <v/>
      </c>
      <c r="B144" s="533"/>
      <c r="C144" s="534"/>
      <c r="D144" s="550"/>
      <c r="E144" s="551" t="s">
        <v>1080</v>
      </c>
      <c r="F144" s="552"/>
      <c r="G144" s="127"/>
      <c r="H144" s="539"/>
      <c r="I144" s="540"/>
      <c r="J144" s="553"/>
      <c r="K144" s="554"/>
      <c r="L144" s="120"/>
    </row>
    <row r="145" spans="1:13" s="187" customFormat="1" x14ac:dyDescent="0.2">
      <c r="A145" s="111">
        <f>IF(F145&lt;&gt;"",1+MAX($A$6:A144),"")</f>
        <v>114</v>
      </c>
      <c r="B145" s="533" t="s">
        <v>1025</v>
      </c>
      <c r="C145" s="534" t="s">
        <v>1076</v>
      </c>
      <c r="D145" s="122"/>
      <c r="E145" s="555" t="s">
        <v>1027</v>
      </c>
      <c r="F145" s="552">
        <f>94*4.5*1.17/27</f>
        <v>18.329999999999998</v>
      </c>
      <c r="G145" s="436">
        <v>0.1</v>
      </c>
      <c r="H145" s="539">
        <f t="shared" ref="H145:H150" si="55">F145*(1+G145)</f>
        <v>20.163</v>
      </c>
      <c r="I145" s="540" t="s">
        <v>1028</v>
      </c>
      <c r="J145" s="553">
        <f>$J$11</f>
        <v>0</v>
      </c>
      <c r="K145" s="554">
        <f t="shared" ref="K145:K150" si="56">J145*H145</f>
        <v>0</v>
      </c>
      <c r="L145" s="120"/>
      <c r="M145" s="558"/>
    </row>
    <row r="146" spans="1:13" s="187" customFormat="1" x14ac:dyDescent="0.2">
      <c r="A146" s="111">
        <f>IF(F146&lt;&gt;"",1+MAX($A$6:A145),"")</f>
        <v>115</v>
      </c>
      <c r="B146" s="533" t="s">
        <v>1025</v>
      </c>
      <c r="C146" s="534" t="s">
        <v>1076</v>
      </c>
      <c r="D146" s="122"/>
      <c r="E146" s="555" t="s">
        <v>1052</v>
      </c>
      <c r="F146" s="552">
        <f>94*1.17*2</f>
        <v>219.95999999999998</v>
      </c>
      <c r="G146" s="436">
        <v>0.1</v>
      </c>
      <c r="H146" s="539">
        <f t="shared" si="55"/>
        <v>241.95599999999999</v>
      </c>
      <c r="I146" s="540" t="s">
        <v>1030</v>
      </c>
      <c r="J146" s="553">
        <f>J$70</f>
        <v>0</v>
      </c>
      <c r="K146" s="554">
        <f t="shared" si="56"/>
        <v>0</v>
      </c>
      <c r="L146" s="120"/>
      <c r="M146" s="558"/>
    </row>
    <row r="147" spans="1:13" s="187" customFormat="1" x14ac:dyDescent="0.2">
      <c r="A147" s="111">
        <f>IF(F147&lt;&gt;"",1+MAX($A$6:A146),"")</f>
        <v>116</v>
      </c>
      <c r="B147" s="533" t="s">
        <v>1025</v>
      </c>
      <c r="C147" s="534" t="s">
        <v>1076</v>
      </c>
      <c r="D147" s="122"/>
      <c r="E147" s="555" t="s">
        <v>1031</v>
      </c>
      <c r="F147" s="552">
        <f>94*5.5*2/27</f>
        <v>38.296296296296298</v>
      </c>
      <c r="G147" s="436">
        <v>0.1</v>
      </c>
      <c r="H147" s="539">
        <f t="shared" si="55"/>
        <v>42.125925925925934</v>
      </c>
      <c r="I147" s="540" t="s">
        <v>1028</v>
      </c>
      <c r="J147" s="553">
        <f>$J$13</f>
        <v>0</v>
      </c>
      <c r="K147" s="554">
        <f t="shared" si="56"/>
        <v>0</v>
      </c>
      <c r="L147" s="120"/>
      <c r="M147" s="558"/>
    </row>
    <row r="148" spans="1:13" s="187" customFormat="1" x14ac:dyDescent="0.2">
      <c r="A148" s="111">
        <f>IF(F148&lt;&gt;"",1+MAX($A$6:A147),"")</f>
        <v>117</v>
      </c>
      <c r="B148" s="533" t="s">
        <v>1025</v>
      </c>
      <c r="C148" s="534" t="s">
        <v>1076</v>
      </c>
      <c r="D148" s="122"/>
      <c r="E148" s="555" t="s">
        <v>1032</v>
      </c>
      <c r="F148" s="552">
        <f>F147-F145</f>
        <v>19.966296296296299</v>
      </c>
      <c r="G148" s="436">
        <v>0.1</v>
      </c>
      <c r="H148" s="539">
        <f t="shared" si="55"/>
        <v>21.96292592592593</v>
      </c>
      <c r="I148" s="540" t="s">
        <v>1028</v>
      </c>
      <c r="J148" s="553">
        <f>$J$14</f>
        <v>0</v>
      </c>
      <c r="K148" s="554">
        <f t="shared" si="56"/>
        <v>0</v>
      </c>
      <c r="L148" s="120"/>
      <c r="M148" s="558"/>
    </row>
    <row r="149" spans="1:13" s="187" customFormat="1" x14ac:dyDescent="0.2">
      <c r="A149" s="111">
        <f>IF(F149&lt;&gt;"",1+MAX($A$6:A148),"")</f>
        <v>118</v>
      </c>
      <c r="B149" s="533" t="s">
        <v>1025</v>
      </c>
      <c r="C149" s="534" t="s">
        <v>1076</v>
      </c>
      <c r="D149" s="122"/>
      <c r="E149" s="555" t="s">
        <v>1077</v>
      </c>
      <c r="F149" s="552">
        <f>2*94*0.668*1.2</f>
        <v>150.70079999999999</v>
      </c>
      <c r="G149" s="436">
        <v>0.1</v>
      </c>
      <c r="H149" s="539">
        <f t="shared" si="55"/>
        <v>165.77088000000001</v>
      </c>
      <c r="I149" s="540" t="s">
        <v>427</v>
      </c>
      <c r="J149" s="553">
        <f t="shared" ref="J149:J150" si="57">$J$15</f>
        <v>0</v>
      </c>
      <c r="K149" s="554">
        <f t="shared" si="56"/>
        <v>0</v>
      </c>
      <c r="L149" s="120"/>
      <c r="M149" s="558"/>
    </row>
    <row r="150" spans="1:13" s="187" customFormat="1" x14ac:dyDescent="0.2">
      <c r="A150" s="111">
        <f>IF(F150&lt;&gt;"",1+MAX($A$6:A149),"")</f>
        <v>119</v>
      </c>
      <c r="B150" s="533" t="s">
        <v>1025</v>
      </c>
      <c r="C150" s="534" t="s">
        <v>1076</v>
      </c>
      <c r="D150" s="122"/>
      <c r="E150" s="555" t="s">
        <v>1078</v>
      </c>
      <c r="F150" s="552">
        <f>94*4.5*1.043*1.2*2</f>
        <v>1058.8535999999999</v>
      </c>
      <c r="G150" s="436">
        <v>0.1</v>
      </c>
      <c r="H150" s="539">
        <f t="shared" si="55"/>
        <v>1164.7389599999999</v>
      </c>
      <c r="I150" s="540" t="s">
        <v>427</v>
      </c>
      <c r="J150" s="553">
        <f t="shared" si="57"/>
        <v>0</v>
      </c>
      <c r="K150" s="554">
        <f t="shared" si="56"/>
        <v>0</v>
      </c>
      <c r="L150" s="120"/>
      <c r="M150" s="558"/>
    </row>
    <row r="151" spans="1:13" s="187" customFormat="1" ht="63" x14ac:dyDescent="0.2">
      <c r="A151" s="111" t="str">
        <f>IF(F151&lt;&gt;"",1+MAX($A$6:A150),"")</f>
        <v/>
      </c>
      <c r="B151" s="533"/>
      <c r="C151" s="534"/>
      <c r="D151" s="550"/>
      <c r="E151" s="551" t="s">
        <v>1081</v>
      </c>
      <c r="F151" s="552"/>
      <c r="G151" s="127"/>
      <c r="H151" s="539"/>
      <c r="I151" s="540"/>
      <c r="J151" s="553"/>
      <c r="K151" s="554"/>
      <c r="L151" s="120"/>
    </row>
    <row r="152" spans="1:13" s="187" customFormat="1" x14ac:dyDescent="0.2">
      <c r="A152" s="111">
        <f>IF(F152&lt;&gt;"",1+MAX($A$6:A151),"")</f>
        <v>120</v>
      </c>
      <c r="B152" s="533" t="s">
        <v>1025</v>
      </c>
      <c r="C152" s="534" t="s">
        <v>1076</v>
      </c>
      <c r="D152" s="122"/>
      <c r="E152" s="555" t="s">
        <v>1027</v>
      </c>
      <c r="F152" s="552">
        <f>48*2.5*1.17/27</f>
        <v>5.1999999999999993</v>
      </c>
      <c r="G152" s="436">
        <v>0.1</v>
      </c>
      <c r="H152" s="539">
        <f t="shared" ref="H152:H157" si="58">F152*(1+G152)</f>
        <v>5.72</v>
      </c>
      <c r="I152" s="540" t="s">
        <v>1028</v>
      </c>
      <c r="J152" s="553">
        <f>$J$11</f>
        <v>0</v>
      </c>
      <c r="K152" s="554">
        <f t="shared" ref="K152:K157" si="59">J152*H152</f>
        <v>0</v>
      </c>
      <c r="L152" s="120"/>
      <c r="M152" s="558"/>
    </row>
    <row r="153" spans="1:13" s="187" customFormat="1" x14ac:dyDescent="0.2">
      <c r="A153" s="111">
        <f>IF(F153&lt;&gt;"",1+MAX($A$6:A152),"")</f>
        <v>121</v>
      </c>
      <c r="B153" s="533" t="s">
        <v>1025</v>
      </c>
      <c r="C153" s="534" t="s">
        <v>1076</v>
      </c>
      <c r="D153" s="122"/>
      <c r="E153" s="555" t="s">
        <v>1052</v>
      </c>
      <c r="F153" s="552">
        <f>48*1.17*2</f>
        <v>112.32</v>
      </c>
      <c r="G153" s="436">
        <v>0.1</v>
      </c>
      <c r="H153" s="539">
        <f t="shared" si="58"/>
        <v>123.55200000000001</v>
      </c>
      <c r="I153" s="540" t="s">
        <v>1030</v>
      </c>
      <c r="J153" s="553">
        <f>J$70</f>
        <v>0</v>
      </c>
      <c r="K153" s="554">
        <f t="shared" si="59"/>
        <v>0</v>
      </c>
      <c r="L153" s="120"/>
      <c r="M153" s="558"/>
    </row>
    <row r="154" spans="1:13" s="187" customFormat="1" x14ac:dyDescent="0.2">
      <c r="A154" s="111">
        <f>IF(F154&lt;&gt;"",1+MAX($A$6:A153),"")</f>
        <v>122</v>
      </c>
      <c r="B154" s="533" t="s">
        <v>1025</v>
      </c>
      <c r="C154" s="534" t="s">
        <v>1076</v>
      </c>
      <c r="D154" s="122"/>
      <c r="E154" s="555" t="s">
        <v>1031</v>
      </c>
      <c r="F154" s="552">
        <f>48*3.5*2/27</f>
        <v>12.444444444444445</v>
      </c>
      <c r="G154" s="436">
        <v>0.1</v>
      </c>
      <c r="H154" s="539">
        <f t="shared" si="58"/>
        <v>13.68888888888889</v>
      </c>
      <c r="I154" s="540" t="s">
        <v>1028</v>
      </c>
      <c r="J154" s="553">
        <f>$J$13</f>
        <v>0</v>
      </c>
      <c r="K154" s="554">
        <f t="shared" si="59"/>
        <v>0</v>
      </c>
      <c r="L154" s="120"/>
      <c r="M154" s="558"/>
    </row>
    <row r="155" spans="1:13" s="187" customFormat="1" x14ac:dyDescent="0.2">
      <c r="A155" s="111">
        <f>IF(F155&lt;&gt;"",1+MAX($A$6:A154),"")</f>
        <v>123</v>
      </c>
      <c r="B155" s="533" t="s">
        <v>1025</v>
      </c>
      <c r="C155" s="534" t="s">
        <v>1076</v>
      </c>
      <c r="D155" s="122"/>
      <c r="E155" s="555" t="s">
        <v>1032</v>
      </c>
      <c r="F155" s="552">
        <f>F154-F152</f>
        <v>7.2444444444444454</v>
      </c>
      <c r="G155" s="436">
        <v>0.1</v>
      </c>
      <c r="H155" s="539">
        <f t="shared" si="58"/>
        <v>7.9688888888888902</v>
      </c>
      <c r="I155" s="540" t="s">
        <v>1028</v>
      </c>
      <c r="J155" s="553">
        <f>$J$14</f>
        <v>0</v>
      </c>
      <c r="K155" s="554">
        <f t="shared" si="59"/>
        <v>0</v>
      </c>
      <c r="L155" s="120"/>
      <c r="M155" s="558"/>
    </row>
    <row r="156" spans="1:13" s="187" customFormat="1" x14ac:dyDescent="0.2">
      <c r="A156" s="111">
        <f>IF(F156&lt;&gt;"",1+MAX($A$6:A155),"")</f>
        <v>124</v>
      </c>
      <c r="B156" s="533" t="s">
        <v>1025</v>
      </c>
      <c r="C156" s="534" t="s">
        <v>1076</v>
      </c>
      <c r="D156" s="122"/>
      <c r="E156" s="555" t="s">
        <v>1077</v>
      </c>
      <c r="F156" s="552">
        <f>2*48*0.668*1.2</f>
        <v>76.953599999999994</v>
      </c>
      <c r="G156" s="436">
        <v>0.1</v>
      </c>
      <c r="H156" s="539">
        <f t="shared" si="58"/>
        <v>84.648960000000002</v>
      </c>
      <c r="I156" s="540" t="s">
        <v>427</v>
      </c>
      <c r="J156" s="553">
        <f t="shared" ref="J156:J157" si="60">$J$15</f>
        <v>0</v>
      </c>
      <c r="K156" s="554">
        <f t="shared" si="59"/>
        <v>0</v>
      </c>
      <c r="L156" s="120"/>
      <c r="M156" s="558"/>
    </row>
    <row r="157" spans="1:13" s="187" customFormat="1" x14ac:dyDescent="0.2">
      <c r="A157" s="111">
        <f>IF(F157&lt;&gt;"",1+MAX($A$6:A156),"")</f>
        <v>125</v>
      </c>
      <c r="B157" s="533" t="s">
        <v>1025</v>
      </c>
      <c r="C157" s="534" t="s">
        <v>1076</v>
      </c>
      <c r="D157" s="122"/>
      <c r="E157" s="555" t="s">
        <v>1078</v>
      </c>
      <c r="F157" s="552">
        <f>48*3.5*1.043*1.2*2</f>
        <v>420.53759999999994</v>
      </c>
      <c r="G157" s="436">
        <v>0.1</v>
      </c>
      <c r="H157" s="539">
        <f t="shared" si="58"/>
        <v>462.59135999999995</v>
      </c>
      <c r="I157" s="540" t="s">
        <v>427</v>
      </c>
      <c r="J157" s="553">
        <f t="shared" si="60"/>
        <v>0</v>
      </c>
      <c r="K157" s="554">
        <f t="shared" si="59"/>
        <v>0</v>
      </c>
      <c r="L157" s="120"/>
      <c r="M157" s="558"/>
    </row>
    <row r="158" spans="1:13" s="187" customFormat="1" ht="63" x14ac:dyDescent="0.2">
      <c r="A158" s="111" t="str">
        <f>IF(F158&lt;&gt;"",1+MAX($A$6:A157),"")</f>
        <v/>
      </c>
      <c r="B158" s="533"/>
      <c r="C158" s="534"/>
      <c r="D158" s="550"/>
      <c r="E158" s="551" t="s">
        <v>1082</v>
      </c>
      <c r="F158" s="552"/>
      <c r="G158" s="127"/>
      <c r="H158" s="539"/>
      <c r="I158" s="540"/>
      <c r="J158" s="553"/>
      <c r="K158" s="554"/>
      <c r="L158" s="120"/>
    </row>
    <row r="159" spans="1:13" s="187" customFormat="1" x14ac:dyDescent="0.2">
      <c r="A159" s="111">
        <f>IF(F159&lt;&gt;"",1+MAX($A$6:A158),"")</f>
        <v>126</v>
      </c>
      <c r="B159" s="533" t="s">
        <v>1025</v>
      </c>
      <c r="C159" s="562" t="s">
        <v>437</v>
      </c>
      <c r="D159" s="122"/>
      <c r="E159" s="555" t="s">
        <v>1027</v>
      </c>
      <c r="F159" s="552">
        <f>9.5*7.25*1.17/27</f>
        <v>2.9845833333333331</v>
      </c>
      <c r="G159" s="436">
        <v>0.1</v>
      </c>
      <c r="H159" s="539">
        <f t="shared" ref="H159:H163" si="61">F159*(1+G159)</f>
        <v>3.2830416666666666</v>
      </c>
      <c r="I159" s="540" t="s">
        <v>1028</v>
      </c>
      <c r="J159" s="553">
        <f>$J$11</f>
        <v>0</v>
      </c>
      <c r="K159" s="554">
        <f t="shared" ref="K159:K163" si="62">J159*H159</f>
        <v>0</v>
      </c>
      <c r="L159" s="120"/>
      <c r="M159" s="558"/>
    </row>
    <row r="160" spans="1:13" s="187" customFormat="1" x14ac:dyDescent="0.2">
      <c r="A160" s="111">
        <f>IF(F160&lt;&gt;"",1+MAX($A$6:A159),"")</f>
        <v>127</v>
      </c>
      <c r="B160" s="533" t="s">
        <v>1025</v>
      </c>
      <c r="C160" s="562" t="s">
        <v>437</v>
      </c>
      <c r="D160" s="122"/>
      <c r="E160" s="555" t="s">
        <v>1052</v>
      </c>
      <c r="F160" s="552">
        <f>2*(9.5+7.25)*1.17</f>
        <v>39.195</v>
      </c>
      <c r="G160" s="436">
        <v>0.1</v>
      </c>
      <c r="H160" s="539">
        <f t="shared" si="61"/>
        <v>43.114500000000007</v>
      </c>
      <c r="I160" s="540" t="s">
        <v>1030</v>
      </c>
      <c r="J160" s="553">
        <f>J$70</f>
        <v>0</v>
      </c>
      <c r="K160" s="554">
        <f t="shared" si="62"/>
        <v>0</v>
      </c>
      <c r="L160" s="120"/>
      <c r="M160" s="558"/>
    </row>
    <row r="161" spans="1:13" s="187" customFormat="1" x14ac:dyDescent="0.2">
      <c r="A161" s="111">
        <f>IF(F161&lt;&gt;"",1+MAX($A$6:A160),"")</f>
        <v>128</v>
      </c>
      <c r="B161" s="533" t="s">
        <v>1025</v>
      </c>
      <c r="C161" s="562" t="s">
        <v>437</v>
      </c>
      <c r="D161" s="122"/>
      <c r="E161" s="555" t="s">
        <v>1031</v>
      </c>
      <c r="F161" s="552">
        <f>10.5*8.25*2/27</f>
        <v>6.416666666666667</v>
      </c>
      <c r="G161" s="436">
        <v>0.1</v>
      </c>
      <c r="H161" s="539">
        <f t="shared" si="61"/>
        <v>7.0583333333333345</v>
      </c>
      <c r="I161" s="540" t="s">
        <v>1028</v>
      </c>
      <c r="J161" s="553">
        <f>$J$13</f>
        <v>0</v>
      </c>
      <c r="K161" s="554">
        <f t="shared" si="62"/>
        <v>0</v>
      </c>
      <c r="L161" s="120"/>
      <c r="M161" s="558"/>
    </row>
    <row r="162" spans="1:13" s="187" customFormat="1" x14ac:dyDescent="0.2">
      <c r="A162" s="111">
        <f>IF(F162&lt;&gt;"",1+MAX($A$6:A161),"")</f>
        <v>129</v>
      </c>
      <c r="B162" s="533" t="s">
        <v>1025</v>
      </c>
      <c r="C162" s="562" t="s">
        <v>437</v>
      </c>
      <c r="D162" s="122"/>
      <c r="E162" s="555" t="s">
        <v>1032</v>
      </c>
      <c r="F162" s="552">
        <f>F161-F159</f>
        <v>3.4320833333333338</v>
      </c>
      <c r="G162" s="436">
        <v>0.1</v>
      </c>
      <c r="H162" s="539">
        <f t="shared" si="61"/>
        <v>3.7752916666666674</v>
      </c>
      <c r="I162" s="540" t="s">
        <v>1028</v>
      </c>
      <c r="J162" s="553">
        <f>$J$14</f>
        <v>0</v>
      </c>
      <c r="K162" s="554">
        <f t="shared" si="62"/>
        <v>0</v>
      </c>
      <c r="L162" s="120"/>
      <c r="M162" s="558"/>
    </row>
    <row r="163" spans="1:13" s="187" customFormat="1" x14ac:dyDescent="0.2">
      <c r="A163" s="111">
        <f>IF(F163&lt;&gt;"",1+MAX($A$6:A162),"")</f>
        <v>130</v>
      </c>
      <c r="B163" s="533" t="s">
        <v>1025</v>
      </c>
      <c r="C163" s="562" t="s">
        <v>437</v>
      </c>
      <c r="D163" s="122"/>
      <c r="E163" s="555" t="s">
        <v>1083</v>
      </c>
      <c r="F163" s="552">
        <f>1.043*1.2*2*2*9.5*7.25</f>
        <v>344.81579999999997</v>
      </c>
      <c r="G163" s="436">
        <v>0.1</v>
      </c>
      <c r="H163" s="539">
        <f t="shared" si="61"/>
        <v>379.29737999999998</v>
      </c>
      <c r="I163" s="540" t="s">
        <v>427</v>
      </c>
      <c r="J163" s="553">
        <f>$J$15</f>
        <v>0</v>
      </c>
      <c r="K163" s="554">
        <f t="shared" si="62"/>
        <v>0</v>
      </c>
      <c r="L163" s="120"/>
      <c r="M163" s="558"/>
    </row>
    <row r="164" spans="1:13" s="187" customFormat="1" ht="16.5" thickBot="1" x14ac:dyDescent="0.25">
      <c r="A164" s="111" t="str">
        <f>IF(F164&lt;&gt;"",1+MAX($A$6:A163),"")</f>
        <v/>
      </c>
      <c r="B164" s="533"/>
      <c r="C164" s="534"/>
      <c r="D164" s="122"/>
      <c r="E164" s="559"/>
      <c r="F164" s="560"/>
      <c r="G164" s="436"/>
      <c r="H164" s="539"/>
      <c r="I164" s="540"/>
      <c r="J164" s="553"/>
      <c r="K164" s="554"/>
      <c r="L164" s="120"/>
      <c r="M164" s="558"/>
    </row>
    <row r="165" spans="1:13" s="187" customFormat="1" ht="16.5" thickBot="1" x14ac:dyDescent="0.25">
      <c r="A165" s="111" t="str">
        <f>IF(F165&lt;&gt;"",1+MAX($A$6:A164),"")</f>
        <v/>
      </c>
      <c r="B165" s="533"/>
      <c r="C165" s="542"/>
      <c r="D165" s="543"/>
      <c r="E165" s="561" t="s">
        <v>1084</v>
      </c>
      <c r="F165" s="537"/>
      <c r="G165" s="546"/>
      <c r="H165" s="547"/>
      <c r="I165" s="548"/>
      <c r="J165" s="226"/>
      <c r="K165" s="549"/>
      <c r="L165" s="120"/>
    </row>
    <row r="166" spans="1:13" s="187" customFormat="1" ht="63" x14ac:dyDescent="0.2">
      <c r="A166" s="111" t="str">
        <f>IF(F166&lt;&gt;"",1+MAX($A$6:A165),"")</f>
        <v/>
      </c>
      <c r="B166" s="533"/>
      <c r="C166" s="534"/>
      <c r="D166" s="550"/>
      <c r="E166" s="551" t="s">
        <v>1085</v>
      </c>
      <c r="F166" s="552"/>
      <c r="G166" s="127"/>
      <c r="H166" s="539"/>
      <c r="I166" s="540"/>
      <c r="J166" s="553"/>
      <c r="K166" s="554"/>
      <c r="L166" s="120"/>
    </row>
    <row r="167" spans="1:13" s="187" customFormat="1" x14ac:dyDescent="0.2">
      <c r="A167" s="111">
        <f>IF(F167&lt;&gt;"",1+MAX($A$6:A166),"")</f>
        <v>131</v>
      </c>
      <c r="B167" s="533" t="s">
        <v>1025</v>
      </c>
      <c r="C167" s="534" t="s">
        <v>1086</v>
      </c>
      <c r="D167" s="122"/>
      <c r="E167" s="555" t="s">
        <v>1027</v>
      </c>
      <c r="F167" s="552">
        <f>34*2*1.67/27</f>
        <v>4.2059259259259258</v>
      </c>
      <c r="G167" s="436">
        <v>0.1</v>
      </c>
      <c r="H167" s="539">
        <f t="shared" ref="H167:H173" si="63">F167*(1+G167)</f>
        <v>4.6265185185185187</v>
      </c>
      <c r="I167" s="540" t="s">
        <v>1028</v>
      </c>
      <c r="J167" s="553">
        <f>$J$11</f>
        <v>0</v>
      </c>
      <c r="K167" s="554">
        <f t="shared" ref="K167:K170" si="64">J167*H167</f>
        <v>0</v>
      </c>
      <c r="L167" s="120"/>
      <c r="M167" s="558"/>
    </row>
    <row r="168" spans="1:13" s="187" customFormat="1" x14ac:dyDescent="0.2">
      <c r="A168" s="111">
        <f>IF(F168&lt;&gt;"",1+MAX($A$6:A167),"")</f>
        <v>132</v>
      </c>
      <c r="B168" s="533" t="s">
        <v>1025</v>
      </c>
      <c r="C168" s="534" t="s">
        <v>1086</v>
      </c>
      <c r="D168" s="122"/>
      <c r="E168" s="555" t="s">
        <v>1087</v>
      </c>
      <c r="F168" s="552">
        <f>34*1.67*2</f>
        <v>113.56</v>
      </c>
      <c r="G168" s="436">
        <v>0.1</v>
      </c>
      <c r="H168" s="539">
        <f t="shared" si="63"/>
        <v>124.91600000000001</v>
      </c>
      <c r="I168" s="540" t="s">
        <v>1030</v>
      </c>
      <c r="J168" s="553">
        <f>J$70</f>
        <v>0</v>
      </c>
      <c r="K168" s="554">
        <f t="shared" si="64"/>
        <v>0</v>
      </c>
      <c r="L168" s="120"/>
      <c r="M168" s="558"/>
    </row>
    <row r="169" spans="1:13" s="187" customFormat="1" x14ac:dyDescent="0.2">
      <c r="A169" s="111">
        <f>IF(F169&lt;&gt;"",1+MAX($A$6:A168),"")</f>
        <v>133</v>
      </c>
      <c r="B169" s="533" t="s">
        <v>1025</v>
      </c>
      <c r="C169" s="534" t="s">
        <v>1086</v>
      </c>
      <c r="D169" s="122"/>
      <c r="E169" s="555" t="s">
        <v>1031</v>
      </c>
      <c r="F169" s="552">
        <f>34*3*1.67/27</f>
        <v>6.3088888888888892</v>
      </c>
      <c r="G169" s="436">
        <v>0.1</v>
      </c>
      <c r="H169" s="539">
        <f t="shared" si="63"/>
        <v>6.9397777777777785</v>
      </c>
      <c r="I169" s="540" t="s">
        <v>1028</v>
      </c>
      <c r="J169" s="553">
        <f>$J$13</f>
        <v>0</v>
      </c>
      <c r="K169" s="554">
        <f t="shared" si="64"/>
        <v>0</v>
      </c>
      <c r="L169" s="120"/>
      <c r="M169" s="558"/>
    </row>
    <row r="170" spans="1:13" s="187" customFormat="1" x14ac:dyDescent="0.2">
      <c r="A170" s="111">
        <f>IF(F170&lt;&gt;"",1+MAX($A$6:A169),"")</f>
        <v>134</v>
      </c>
      <c r="B170" s="533" t="s">
        <v>1025</v>
      </c>
      <c r="C170" s="534" t="s">
        <v>1086</v>
      </c>
      <c r="D170" s="122"/>
      <c r="E170" s="555" t="s">
        <v>1032</v>
      </c>
      <c r="F170" s="552">
        <f>F169-F167</f>
        <v>2.1029629629629634</v>
      </c>
      <c r="G170" s="436">
        <v>0.1</v>
      </c>
      <c r="H170" s="539">
        <f t="shared" si="63"/>
        <v>2.3132592592592598</v>
      </c>
      <c r="I170" s="540" t="s">
        <v>1028</v>
      </c>
      <c r="J170" s="553">
        <f>$J$14</f>
        <v>0</v>
      </c>
      <c r="K170" s="554">
        <f t="shared" si="64"/>
        <v>0</v>
      </c>
      <c r="L170" s="120"/>
      <c r="M170" s="558"/>
    </row>
    <row r="171" spans="1:13" s="187" customFormat="1" x14ac:dyDescent="0.2">
      <c r="A171" s="111">
        <f>IF(F171&lt;&gt;"",1+MAX($A$6:A170),"")</f>
        <v>135</v>
      </c>
      <c r="B171" s="533" t="s">
        <v>1025</v>
      </c>
      <c r="C171" s="534" t="s">
        <v>1086</v>
      </c>
      <c r="D171" s="122"/>
      <c r="E171" s="555" t="s">
        <v>1088</v>
      </c>
      <c r="F171" s="552">
        <f>4*34*2.67*1.2*2</f>
        <v>871.48799999999994</v>
      </c>
      <c r="G171" s="436">
        <v>0.1</v>
      </c>
      <c r="H171" s="539">
        <f t="shared" si="63"/>
        <v>958.63679999999999</v>
      </c>
      <c r="I171" s="540" t="s">
        <v>427</v>
      </c>
      <c r="J171" s="553">
        <f t="shared" ref="J171:J173" si="65">$J$15</f>
        <v>0</v>
      </c>
      <c r="K171" s="554">
        <f t="shared" si="21"/>
        <v>0</v>
      </c>
      <c r="L171" s="120"/>
      <c r="M171" s="558"/>
    </row>
    <row r="172" spans="1:13" s="187" customFormat="1" x14ac:dyDescent="0.2">
      <c r="A172" s="111">
        <f>IF(F172&lt;&gt;"",1+MAX($A$6:A171),"")</f>
        <v>136</v>
      </c>
      <c r="B172" s="533" t="s">
        <v>1025</v>
      </c>
      <c r="C172" s="534" t="s">
        <v>1086</v>
      </c>
      <c r="D172" s="122"/>
      <c r="E172" s="555" t="s">
        <v>1089</v>
      </c>
      <c r="F172" s="552">
        <f>34/0.83*(2*1.67+4*2+0.5)*0.668*1.2</f>
        <v>388.78565783132535</v>
      </c>
      <c r="G172" s="436">
        <v>0.1</v>
      </c>
      <c r="H172" s="539">
        <f t="shared" si="63"/>
        <v>427.66422361445791</v>
      </c>
      <c r="I172" s="540" t="s">
        <v>427</v>
      </c>
      <c r="J172" s="553">
        <f t="shared" si="65"/>
        <v>0</v>
      </c>
      <c r="K172" s="554">
        <f t="shared" si="21"/>
        <v>0</v>
      </c>
      <c r="L172" s="120"/>
      <c r="M172" s="558"/>
    </row>
    <row r="173" spans="1:13" s="187" customFormat="1" x14ac:dyDescent="0.2">
      <c r="A173" s="111">
        <f>IF(F173&lt;&gt;"",1+MAX($A$6:A172),"")</f>
        <v>137</v>
      </c>
      <c r="B173" s="533" t="s">
        <v>1025</v>
      </c>
      <c r="C173" s="534" t="s">
        <v>1090</v>
      </c>
      <c r="D173" s="122"/>
      <c r="E173" s="555" t="s">
        <v>1091</v>
      </c>
      <c r="F173" s="552">
        <f>35/1.33*3.5*1.043*1.2*2</f>
        <v>230.55789473684206</v>
      </c>
      <c r="G173" s="436">
        <v>0.1</v>
      </c>
      <c r="H173" s="539">
        <f t="shared" si="63"/>
        <v>253.61368421052629</v>
      </c>
      <c r="I173" s="540" t="s">
        <v>427</v>
      </c>
      <c r="J173" s="553">
        <f t="shared" si="65"/>
        <v>0</v>
      </c>
      <c r="K173" s="554">
        <f t="shared" si="21"/>
        <v>0</v>
      </c>
      <c r="L173" s="120"/>
      <c r="M173" s="558"/>
    </row>
    <row r="174" spans="1:13" s="187" customFormat="1" ht="16.5" thickBot="1" x14ac:dyDescent="0.25">
      <c r="A174" s="111" t="str">
        <f>IF(F174&lt;&gt;"",1+MAX($A$6:A173),"")</f>
        <v/>
      </c>
      <c r="B174" s="533"/>
      <c r="C174" s="534"/>
      <c r="D174" s="122"/>
      <c r="E174" s="559"/>
      <c r="F174" s="560"/>
      <c r="G174" s="436"/>
      <c r="H174" s="539"/>
      <c r="I174" s="540"/>
      <c r="J174" s="553"/>
      <c r="K174" s="554"/>
      <c r="L174" s="120"/>
      <c r="M174" s="558"/>
    </row>
    <row r="175" spans="1:13" s="187" customFormat="1" ht="16.5" thickBot="1" x14ac:dyDescent="0.25">
      <c r="A175" s="111" t="str">
        <f>IF(F175&lt;&gt;"",1+MAX($A$6:A174),"")</f>
        <v/>
      </c>
      <c r="B175" s="533"/>
      <c r="C175" s="542"/>
      <c r="D175" s="543"/>
      <c r="E175" s="561" t="s">
        <v>1092</v>
      </c>
      <c r="F175" s="537"/>
      <c r="G175" s="546"/>
      <c r="H175" s="547"/>
      <c r="I175" s="548"/>
      <c r="J175" s="226"/>
      <c r="K175" s="549"/>
      <c r="L175" s="120"/>
    </row>
    <row r="176" spans="1:13" s="187" customFormat="1" x14ac:dyDescent="0.2">
      <c r="A176" s="111">
        <f>IF(F176&lt;&gt;"",1+MAX($A$6:A175),"")</f>
        <v>138</v>
      </c>
      <c r="B176" s="533" t="s">
        <v>1025</v>
      </c>
      <c r="C176" s="534" t="s">
        <v>1093</v>
      </c>
      <c r="D176" s="122"/>
      <c r="E176" s="555" t="s">
        <v>1027</v>
      </c>
      <c r="F176" s="552">
        <f>84*1.33/27</f>
        <v>4.137777777777778</v>
      </c>
      <c r="G176" s="436">
        <v>0.1</v>
      </c>
      <c r="H176" s="539">
        <f t="shared" ref="H176:H179" si="66">F176*(1+G176)</f>
        <v>4.5515555555555558</v>
      </c>
      <c r="I176" s="540" t="s">
        <v>1028</v>
      </c>
      <c r="J176" s="553">
        <f>$J$11</f>
        <v>0</v>
      </c>
      <c r="K176" s="554">
        <f t="shared" ref="K176:K179" si="67">J176*H176</f>
        <v>0</v>
      </c>
      <c r="L176" s="120"/>
      <c r="M176" s="558"/>
    </row>
    <row r="177" spans="1:13" s="187" customFormat="1" x14ac:dyDescent="0.2">
      <c r="A177" s="111">
        <f>IF(F177&lt;&gt;"",1+MAX($A$6:A176),"")</f>
        <v>139</v>
      </c>
      <c r="B177" s="533" t="s">
        <v>1025</v>
      </c>
      <c r="C177" s="534" t="s">
        <v>1093</v>
      </c>
      <c r="D177" s="122"/>
      <c r="E177" s="555" t="s">
        <v>1094</v>
      </c>
      <c r="F177" s="552">
        <f>37*1.33</f>
        <v>49.21</v>
      </c>
      <c r="G177" s="436">
        <v>0.1</v>
      </c>
      <c r="H177" s="539">
        <f t="shared" si="66"/>
        <v>54.131000000000007</v>
      </c>
      <c r="I177" s="540" t="s">
        <v>1030</v>
      </c>
      <c r="J177" s="553">
        <f>J$70</f>
        <v>0</v>
      </c>
      <c r="K177" s="554">
        <f t="shared" si="67"/>
        <v>0</v>
      </c>
      <c r="L177" s="120"/>
      <c r="M177" s="558"/>
    </row>
    <row r="178" spans="1:13" s="187" customFormat="1" x14ac:dyDescent="0.2">
      <c r="A178" s="111">
        <f>IF(F178&lt;&gt;"",1+MAX($A$6:A177),"")</f>
        <v>140</v>
      </c>
      <c r="B178" s="533" t="s">
        <v>1025</v>
      </c>
      <c r="C178" s="534" t="s">
        <v>1093</v>
      </c>
      <c r="D178" s="122"/>
      <c r="E178" s="555" t="s">
        <v>1031</v>
      </c>
      <c r="F178" s="552">
        <f>84*6.33/27</f>
        <v>19.693333333333335</v>
      </c>
      <c r="G178" s="436">
        <v>0.1</v>
      </c>
      <c r="H178" s="539">
        <f t="shared" si="66"/>
        <v>21.66266666666667</v>
      </c>
      <c r="I178" s="540" t="s">
        <v>1028</v>
      </c>
      <c r="J178" s="553">
        <f>$J$13</f>
        <v>0</v>
      </c>
      <c r="K178" s="554">
        <f t="shared" si="67"/>
        <v>0</v>
      </c>
      <c r="L178" s="120"/>
      <c r="M178" s="558"/>
    </row>
    <row r="179" spans="1:13" s="187" customFormat="1" x14ac:dyDescent="0.2">
      <c r="A179" s="111">
        <f>IF(F179&lt;&gt;"",1+MAX($A$6:A178),"")</f>
        <v>141</v>
      </c>
      <c r="B179" s="533" t="s">
        <v>1025</v>
      </c>
      <c r="C179" s="534" t="s">
        <v>1093</v>
      </c>
      <c r="D179" s="122"/>
      <c r="E179" s="555" t="s">
        <v>1095</v>
      </c>
      <c r="F179" s="552">
        <f>1.5*1.2*2*2*84</f>
        <v>604.79999999999995</v>
      </c>
      <c r="G179" s="436">
        <v>0.1</v>
      </c>
      <c r="H179" s="539">
        <f t="shared" si="66"/>
        <v>665.28</v>
      </c>
      <c r="I179" s="540" t="s">
        <v>427</v>
      </c>
      <c r="J179" s="553">
        <f>$J$15</f>
        <v>0</v>
      </c>
      <c r="K179" s="554">
        <f t="shared" si="67"/>
        <v>0</v>
      </c>
      <c r="L179" s="120"/>
      <c r="M179" s="558"/>
    </row>
    <row r="180" spans="1:13" s="187" customFormat="1" ht="16.5" thickBot="1" x14ac:dyDescent="0.25">
      <c r="A180" s="111" t="str">
        <f>IF(F180&lt;&gt;"",1+MAX($A$6:A179),"")</f>
        <v/>
      </c>
      <c r="B180" s="533"/>
      <c r="C180" s="534"/>
      <c r="D180" s="122"/>
      <c r="E180" s="559"/>
      <c r="F180" s="560"/>
      <c r="G180" s="436"/>
      <c r="H180" s="539"/>
      <c r="I180" s="540"/>
      <c r="J180" s="553"/>
      <c r="K180" s="554"/>
      <c r="L180" s="120"/>
      <c r="M180" s="558"/>
    </row>
    <row r="181" spans="1:13" s="187" customFormat="1" ht="16.5" thickBot="1" x14ac:dyDescent="0.25">
      <c r="A181" s="111" t="str">
        <f>IF(F181&lt;&gt;"",1+MAX($A$6:A180),"")</f>
        <v/>
      </c>
      <c r="B181" s="533"/>
      <c r="C181" s="542"/>
      <c r="D181" s="543"/>
      <c r="E181" s="561" t="s">
        <v>1096</v>
      </c>
      <c r="F181" s="537"/>
      <c r="G181" s="546"/>
      <c r="H181" s="547"/>
      <c r="I181" s="548"/>
      <c r="J181" s="226"/>
      <c r="K181" s="549"/>
      <c r="L181" s="120"/>
    </row>
    <row r="182" spans="1:13" s="187" customFormat="1" x14ac:dyDescent="0.2">
      <c r="A182" s="111">
        <f>IF(F182&lt;&gt;"",1+MAX($A$6:A181),"")</f>
        <v>142</v>
      </c>
      <c r="B182" s="533" t="s">
        <v>1025</v>
      </c>
      <c r="C182" s="534" t="s">
        <v>1093</v>
      </c>
      <c r="D182" s="122"/>
      <c r="E182" s="555" t="s">
        <v>1027</v>
      </c>
      <c r="F182" s="552">
        <f>36*1*5/27+36*5*5*0.5/27</f>
        <v>23.333333333333336</v>
      </c>
      <c r="G182" s="436">
        <v>0.1</v>
      </c>
      <c r="H182" s="539">
        <f t="shared" ref="H182:H184" si="68">F182*(1+G182)</f>
        <v>25.666666666666671</v>
      </c>
      <c r="I182" s="540" t="s">
        <v>1028</v>
      </c>
      <c r="J182" s="553">
        <f>$J$11</f>
        <v>0</v>
      </c>
      <c r="K182" s="554">
        <f t="shared" ref="K182:K184" si="69">J182*H182</f>
        <v>0</v>
      </c>
      <c r="L182" s="120"/>
      <c r="M182" s="558"/>
    </row>
    <row r="183" spans="1:13" s="187" customFormat="1" x14ac:dyDescent="0.2">
      <c r="A183" s="111">
        <f>IF(F183&lt;&gt;"",1+MAX($A$6:A182),"")</f>
        <v>143</v>
      </c>
      <c r="B183" s="533" t="s">
        <v>1025</v>
      </c>
      <c r="C183" s="534" t="s">
        <v>1093</v>
      </c>
      <c r="D183" s="122"/>
      <c r="E183" s="555" t="s">
        <v>1094</v>
      </c>
      <c r="F183" s="552">
        <f>36*5</f>
        <v>180</v>
      </c>
      <c r="G183" s="436">
        <v>0.1</v>
      </c>
      <c r="H183" s="539">
        <f t="shared" si="68"/>
        <v>198.00000000000003</v>
      </c>
      <c r="I183" s="540" t="s">
        <v>1030</v>
      </c>
      <c r="J183" s="553">
        <f>J$70</f>
        <v>0</v>
      </c>
      <c r="K183" s="554">
        <f t="shared" si="69"/>
        <v>0</v>
      </c>
      <c r="L183" s="120"/>
      <c r="M183" s="558"/>
    </row>
    <row r="184" spans="1:13" s="187" customFormat="1" x14ac:dyDescent="0.2">
      <c r="A184" s="111">
        <f>IF(F184&lt;&gt;"",1+MAX($A$6:A183),"")</f>
        <v>144</v>
      </c>
      <c r="B184" s="533" t="s">
        <v>1025</v>
      </c>
      <c r="C184" s="534" t="s">
        <v>1093</v>
      </c>
      <c r="D184" s="122"/>
      <c r="E184" s="555" t="s">
        <v>1097</v>
      </c>
      <c r="F184" s="552">
        <f>1.043*1.2*2*2*36*5*1.9</f>
        <v>1712.1887999999997</v>
      </c>
      <c r="G184" s="436">
        <v>0.1</v>
      </c>
      <c r="H184" s="539">
        <f t="shared" si="68"/>
        <v>1883.4076799999998</v>
      </c>
      <c r="I184" s="540" t="s">
        <v>427</v>
      </c>
      <c r="J184" s="553">
        <f>$J$15</f>
        <v>0</v>
      </c>
      <c r="K184" s="554">
        <f t="shared" si="69"/>
        <v>0</v>
      </c>
      <c r="L184" s="120"/>
      <c r="M184" s="558"/>
    </row>
    <row r="185" spans="1:13" s="187" customFormat="1" ht="16.5" thickBot="1" x14ac:dyDescent="0.25">
      <c r="A185" s="111" t="str">
        <f>IF(F185&lt;&gt;"",1+MAX($A$6:A184),"")</f>
        <v/>
      </c>
      <c r="B185" s="533"/>
      <c r="C185" s="534"/>
      <c r="D185" s="122"/>
      <c r="E185" s="559"/>
      <c r="F185" s="560"/>
      <c r="G185" s="436"/>
      <c r="H185" s="539"/>
      <c r="I185" s="540"/>
      <c r="J185" s="553"/>
      <c r="K185" s="554"/>
      <c r="L185" s="120"/>
      <c r="M185" s="558"/>
    </row>
    <row r="186" spans="1:13" s="187" customFormat="1" ht="16.5" thickBot="1" x14ac:dyDescent="0.25">
      <c r="A186" s="111" t="str">
        <f>IF(F186&lt;&gt;"",1+MAX($A$6:A185),"")</f>
        <v/>
      </c>
      <c r="B186" s="533"/>
      <c r="C186" s="542"/>
      <c r="D186" s="543"/>
      <c r="E186" s="561" t="s">
        <v>1098</v>
      </c>
      <c r="F186" s="537"/>
      <c r="G186" s="546"/>
      <c r="H186" s="547"/>
      <c r="I186" s="548"/>
      <c r="J186" s="226"/>
      <c r="K186" s="549"/>
      <c r="L186" s="120"/>
    </row>
    <row r="187" spans="1:13" s="187" customFormat="1" ht="63" x14ac:dyDescent="0.2">
      <c r="A187" s="111" t="str">
        <f>IF(F187&lt;&gt;"",1+MAX($A$6:A186),"")</f>
        <v/>
      </c>
      <c r="B187" s="533"/>
      <c r="C187" s="534"/>
      <c r="D187" s="550"/>
      <c r="E187" s="551" t="s">
        <v>1099</v>
      </c>
      <c r="F187" s="552"/>
      <c r="G187" s="127"/>
      <c r="H187" s="539"/>
      <c r="I187" s="540"/>
      <c r="J187" s="553"/>
      <c r="K187" s="554"/>
      <c r="L187" s="120"/>
    </row>
    <row r="188" spans="1:13" s="187" customFormat="1" x14ac:dyDescent="0.2">
      <c r="A188" s="111">
        <f>IF(F188&lt;&gt;"",1+MAX($A$6:A187),"")</f>
        <v>145</v>
      </c>
      <c r="B188" s="533" t="s">
        <v>1025</v>
      </c>
      <c r="C188" s="534" t="s">
        <v>1056</v>
      </c>
      <c r="D188" s="122"/>
      <c r="E188" s="555" t="s">
        <v>1100</v>
      </c>
      <c r="F188" s="552">
        <f>122*0.83*12/27</f>
        <v>45.004444444444438</v>
      </c>
      <c r="G188" s="436">
        <v>0.1</v>
      </c>
      <c r="H188" s="539">
        <f t="shared" ref="H188:H196" si="70">F188*(1+G188)</f>
        <v>49.504888888888885</v>
      </c>
      <c r="I188" s="540" t="s">
        <v>1028</v>
      </c>
      <c r="J188" s="556">
        <v>0</v>
      </c>
      <c r="K188" s="554">
        <f t="shared" ref="K188:K196" si="71">J188*H188</f>
        <v>0</v>
      </c>
      <c r="L188" s="120"/>
      <c r="M188" s="558"/>
    </row>
    <row r="189" spans="1:13" s="187" customFormat="1" x14ac:dyDescent="0.2">
      <c r="A189" s="111">
        <f>IF(F189&lt;&gt;"",1+MAX($A$6:A188),"")</f>
        <v>146</v>
      </c>
      <c r="B189" s="533" t="s">
        <v>1025</v>
      </c>
      <c r="C189" s="534" t="s">
        <v>1056</v>
      </c>
      <c r="D189" s="122"/>
      <c r="E189" s="555" t="s">
        <v>1101</v>
      </c>
      <c r="F189" s="552">
        <f>(12/1.17+1)*122*0.668*1.2*2</f>
        <v>2201.6457846153853</v>
      </c>
      <c r="G189" s="436">
        <v>0.1</v>
      </c>
      <c r="H189" s="539">
        <f t="shared" si="70"/>
        <v>2421.8103630769242</v>
      </c>
      <c r="I189" s="540" t="s">
        <v>427</v>
      </c>
      <c r="J189" s="553">
        <f t="shared" ref="J189:J193" si="72">$J$15</f>
        <v>0</v>
      </c>
      <c r="K189" s="554">
        <f t="shared" si="71"/>
        <v>0</v>
      </c>
      <c r="L189" s="120"/>
      <c r="M189" s="558"/>
    </row>
    <row r="190" spans="1:13" s="187" customFormat="1" x14ac:dyDescent="0.2">
      <c r="A190" s="111">
        <f>IF(F190&lt;&gt;"",1+MAX($A$6:A189),"")</f>
        <v>147</v>
      </c>
      <c r="B190" s="533" t="s">
        <v>1025</v>
      </c>
      <c r="C190" s="534" t="s">
        <v>1056</v>
      </c>
      <c r="D190" s="122"/>
      <c r="E190" s="555" t="s">
        <v>1102</v>
      </c>
      <c r="F190" s="552">
        <f>(122/1+1)*12*1.043*1.2</f>
        <v>1847.3615999999997</v>
      </c>
      <c r="G190" s="436">
        <v>0.1</v>
      </c>
      <c r="H190" s="539">
        <f t="shared" si="70"/>
        <v>2032.0977599999999</v>
      </c>
      <c r="I190" s="540" t="s">
        <v>427</v>
      </c>
      <c r="J190" s="553">
        <f t="shared" si="72"/>
        <v>0</v>
      </c>
      <c r="K190" s="554">
        <f t="shared" si="71"/>
        <v>0</v>
      </c>
      <c r="L190" s="120"/>
      <c r="M190" s="558"/>
    </row>
    <row r="191" spans="1:13" s="187" customFormat="1" x14ac:dyDescent="0.2">
      <c r="A191" s="111">
        <f>IF(F191&lt;&gt;"",1+MAX($A$6:A190),"")</f>
        <v>148</v>
      </c>
      <c r="B191" s="533" t="s">
        <v>1025</v>
      </c>
      <c r="C191" s="534" t="s">
        <v>1056</v>
      </c>
      <c r="D191" s="122"/>
      <c r="E191" s="555" t="s">
        <v>1103</v>
      </c>
      <c r="F191" s="552">
        <f>(122/1+1)*12*1.5*1.2</f>
        <v>2656.7999999999997</v>
      </c>
      <c r="G191" s="436">
        <v>0.1</v>
      </c>
      <c r="H191" s="539">
        <f t="shared" si="70"/>
        <v>2922.48</v>
      </c>
      <c r="I191" s="540" t="s">
        <v>427</v>
      </c>
      <c r="J191" s="553">
        <f t="shared" si="72"/>
        <v>0</v>
      </c>
      <c r="K191" s="554">
        <f t="shared" si="71"/>
        <v>0</v>
      </c>
      <c r="L191" s="120"/>
      <c r="M191" s="558"/>
    </row>
    <row r="192" spans="1:13" s="187" customFormat="1" x14ac:dyDescent="0.2">
      <c r="A192" s="111">
        <f>IF(F192&lt;&gt;"",1+MAX($A$6:A191),"")</f>
        <v>149</v>
      </c>
      <c r="B192" s="533" t="s">
        <v>1025</v>
      </c>
      <c r="C192" s="534" t="s">
        <v>1056</v>
      </c>
      <c r="D192" s="122"/>
      <c r="E192" s="555" t="s">
        <v>1104</v>
      </c>
      <c r="F192" s="552">
        <f>(122/1+1)*7.5*1.043*1.2*2</f>
        <v>2309.2019999999998</v>
      </c>
      <c r="G192" s="436">
        <v>0.1</v>
      </c>
      <c r="H192" s="539">
        <f t="shared" si="70"/>
        <v>2540.1221999999998</v>
      </c>
      <c r="I192" s="540" t="s">
        <v>427</v>
      </c>
      <c r="J192" s="553">
        <f t="shared" si="72"/>
        <v>0</v>
      </c>
      <c r="K192" s="554">
        <f t="shared" si="71"/>
        <v>0</v>
      </c>
      <c r="L192" s="120"/>
      <c r="M192" s="558"/>
    </row>
    <row r="193" spans="1:13" s="187" customFormat="1" x14ac:dyDescent="0.2">
      <c r="A193" s="111">
        <f>IF(F193&lt;&gt;"",1+MAX($A$6:A192),"")</f>
        <v>150</v>
      </c>
      <c r="B193" s="533" t="s">
        <v>1025</v>
      </c>
      <c r="C193" s="534" t="s">
        <v>1056</v>
      </c>
      <c r="D193" s="122"/>
      <c r="E193" s="555" t="s">
        <v>1105</v>
      </c>
      <c r="F193" s="552">
        <f>122/1.33*3.83*1.043*1.2</f>
        <v>439.71625263157881</v>
      </c>
      <c r="G193" s="436">
        <v>0.1</v>
      </c>
      <c r="H193" s="539">
        <f t="shared" si="70"/>
        <v>483.68787789473674</v>
      </c>
      <c r="I193" s="540" t="s">
        <v>427</v>
      </c>
      <c r="J193" s="553">
        <f t="shared" si="72"/>
        <v>0</v>
      </c>
      <c r="K193" s="554">
        <f t="shared" si="71"/>
        <v>0</v>
      </c>
      <c r="L193" s="120"/>
      <c r="M193" s="558"/>
    </row>
    <row r="194" spans="1:13" s="187" customFormat="1" x14ac:dyDescent="0.2">
      <c r="A194" s="111">
        <f>IF(F194&lt;&gt;"",1+MAX($A$6:A193),"")</f>
        <v>151</v>
      </c>
      <c r="B194" s="533" t="s">
        <v>1025</v>
      </c>
      <c r="C194" s="534" t="s">
        <v>1056</v>
      </c>
      <c r="D194" s="122"/>
      <c r="E194" s="555" t="s">
        <v>1106</v>
      </c>
      <c r="F194" s="552">
        <f>122*13</f>
        <v>1586</v>
      </c>
      <c r="G194" s="436">
        <v>0.1</v>
      </c>
      <c r="H194" s="539">
        <f t="shared" si="70"/>
        <v>1744.6000000000001</v>
      </c>
      <c r="I194" s="540" t="s">
        <v>18</v>
      </c>
      <c r="J194" s="556">
        <v>0</v>
      </c>
      <c r="K194" s="554">
        <f t="shared" si="71"/>
        <v>0</v>
      </c>
      <c r="L194" s="120"/>
      <c r="M194" s="558"/>
    </row>
    <row r="195" spans="1:13" s="187" customFormat="1" x14ac:dyDescent="0.2">
      <c r="A195" s="111">
        <f>IF(F195&lt;&gt;"",1+MAX($A$6:A194),"")</f>
        <v>152</v>
      </c>
      <c r="B195" s="533" t="s">
        <v>1025</v>
      </c>
      <c r="C195" s="534" t="s">
        <v>1056</v>
      </c>
      <c r="D195" s="122"/>
      <c r="E195" s="555" t="s">
        <v>1107</v>
      </c>
      <c r="F195" s="552">
        <v>122</v>
      </c>
      <c r="G195" s="436">
        <v>0.1</v>
      </c>
      <c r="H195" s="539">
        <f t="shared" si="70"/>
        <v>134.20000000000002</v>
      </c>
      <c r="I195" s="540" t="s">
        <v>15</v>
      </c>
      <c r="J195" s="556">
        <v>0</v>
      </c>
      <c r="K195" s="554">
        <f t="shared" si="71"/>
        <v>0</v>
      </c>
      <c r="L195" s="120"/>
      <c r="M195" s="558"/>
    </row>
    <row r="196" spans="1:13" s="187" customFormat="1" x14ac:dyDescent="0.2">
      <c r="A196" s="111">
        <f>IF(F196&lt;&gt;"",1+MAX($A$6:A195),"")</f>
        <v>153</v>
      </c>
      <c r="B196" s="533" t="str">
        <f>B195</f>
        <v>S2</v>
      </c>
      <c r="C196" s="534" t="str">
        <f>C195</f>
        <v>6/SD1</v>
      </c>
      <c r="D196" s="122"/>
      <c r="E196" s="555" t="s">
        <v>1108</v>
      </c>
      <c r="F196" s="552">
        <f>F195/27</f>
        <v>4.5185185185185182</v>
      </c>
      <c r="G196" s="436">
        <v>0.1</v>
      </c>
      <c r="H196" s="539">
        <f t="shared" si="70"/>
        <v>4.9703703703703708</v>
      </c>
      <c r="I196" s="540" t="s">
        <v>1028</v>
      </c>
      <c r="J196" s="556">
        <v>0</v>
      </c>
      <c r="K196" s="554">
        <f t="shared" si="71"/>
        <v>0</v>
      </c>
      <c r="L196" s="120"/>
      <c r="M196" s="558"/>
    </row>
    <row r="197" spans="1:13" s="187" customFormat="1" ht="63" x14ac:dyDescent="0.2">
      <c r="A197" s="111" t="str">
        <f>IF(F197&lt;&gt;"",1+MAX($A$6:A196),"")</f>
        <v/>
      </c>
      <c r="B197" s="533"/>
      <c r="C197" s="534"/>
      <c r="D197" s="550"/>
      <c r="E197" s="551" t="s">
        <v>1109</v>
      </c>
      <c r="F197" s="552"/>
      <c r="G197" s="127"/>
      <c r="H197" s="539"/>
      <c r="I197" s="540"/>
      <c r="J197" s="553"/>
      <c r="K197" s="554"/>
      <c r="L197" s="120"/>
    </row>
    <row r="198" spans="1:13" s="187" customFormat="1" x14ac:dyDescent="0.2">
      <c r="A198" s="111">
        <f>IF(F198&lt;&gt;"",1+MAX($A$6:A197),"")</f>
        <v>154</v>
      </c>
      <c r="B198" s="533" t="s">
        <v>1025</v>
      </c>
      <c r="C198" s="534" t="s">
        <v>1059</v>
      </c>
      <c r="D198" s="122"/>
      <c r="E198" s="555" t="s">
        <v>1100</v>
      </c>
      <c r="F198" s="552">
        <f>338*0.83*12/27</f>
        <v>124.68444444444442</v>
      </c>
      <c r="G198" s="436">
        <v>0.1</v>
      </c>
      <c r="H198" s="539">
        <f t="shared" ref="H198:H206" si="73">F198*(1+G198)</f>
        <v>137.15288888888887</v>
      </c>
      <c r="I198" s="540" t="s">
        <v>1028</v>
      </c>
      <c r="J198" s="553">
        <f>$J$188</f>
        <v>0</v>
      </c>
      <c r="K198" s="554">
        <f t="shared" ref="K198:K206" si="74">J198*H198</f>
        <v>0</v>
      </c>
      <c r="L198" s="120"/>
      <c r="M198" s="558"/>
    </row>
    <row r="199" spans="1:13" s="187" customFormat="1" x14ac:dyDescent="0.2">
      <c r="A199" s="111">
        <f>IF(F199&lt;&gt;"",1+MAX($A$6:A198),"")</f>
        <v>155</v>
      </c>
      <c r="B199" s="533" t="s">
        <v>1025</v>
      </c>
      <c r="C199" s="534" t="s">
        <v>1059</v>
      </c>
      <c r="D199" s="122"/>
      <c r="E199" s="555" t="s">
        <v>1101</v>
      </c>
      <c r="F199" s="552">
        <f>(12/1.17+1)*338*0.668*1.2*2</f>
        <v>6099.6416000000008</v>
      </c>
      <c r="G199" s="436">
        <v>0.1</v>
      </c>
      <c r="H199" s="539">
        <f t="shared" si="73"/>
        <v>6709.6057600000013</v>
      </c>
      <c r="I199" s="540" t="s">
        <v>427</v>
      </c>
      <c r="J199" s="553">
        <f t="shared" ref="J199:J203" si="75">$J$15</f>
        <v>0</v>
      </c>
      <c r="K199" s="554">
        <f t="shared" si="74"/>
        <v>0</v>
      </c>
      <c r="L199" s="120"/>
      <c r="M199" s="558"/>
    </row>
    <row r="200" spans="1:13" s="187" customFormat="1" x14ac:dyDescent="0.2">
      <c r="A200" s="111">
        <f>IF(F200&lt;&gt;"",1+MAX($A$6:A199),"")</f>
        <v>156</v>
      </c>
      <c r="B200" s="533" t="s">
        <v>1025</v>
      </c>
      <c r="C200" s="534" t="s">
        <v>1059</v>
      </c>
      <c r="D200" s="122"/>
      <c r="E200" s="555" t="s">
        <v>1102</v>
      </c>
      <c r="F200" s="552">
        <f>(338/1+1)*12*1.043*1.2</f>
        <v>5091.5087999999996</v>
      </c>
      <c r="G200" s="436">
        <v>0.1</v>
      </c>
      <c r="H200" s="539">
        <f t="shared" si="73"/>
        <v>5600.6596799999998</v>
      </c>
      <c r="I200" s="540" t="s">
        <v>427</v>
      </c>
      <c r="J200" s="553">
        <f t="shared" si="75"/>
        <v>0</v>
      </c>
      <c r="K200" s="554">
        <f t="shared" si="74"/>
        <v>0</v>
      </c>
      <c r="L200" s="120"/>
      <c r="M200" s="558"/>
    </row>
    <row r="201" spans="1:13" s="187" customFormat="1" x14ac:dyDescent="0.2">
      <c r="A201" s="111">
        <f>IF(F201&lt;&gt;"",1+MAX($A$6:A200),"")</f>
        <v>157</v>
      </c>
      <c r="B201" s="533" t="s">
        <v>1025</v>
      </c>
      <c r="C201" s="534" t="s">
        <v>1059</v>
      </c>
      <c r="D201" s="122"/>
      <c r="E201" s="555" t="s">
        <v>1103</v>
      </c>
      <c r="F201" s="552">
        <f>(338/1+1)*12*1.5*1.2</f>
        <v>7322.4</v>
      </c>
      <c r="G201" s="436">
        <v>0.1</v>
      </c>
      <c r="H201" s="539">
        <f t="shared" si="73"/>
        <v>8054.64</v>
      </c>
      <c r="I201" s="540" t="s">
        <v>427</v>
      </c>
      <c r="J201" s="553">
        <f t="shared" si="75"/>
        <v>0</v>
      </c>
      <c r="K201" s="554">
        <f t="shared" si="74"/>
        <v>0</v>
      </c>
      <c r="L201" s="120"/>
      <c r="M201" s="558"/>
    </row>
    <row r="202" spans="1:13" s="187" customFormat="1" x14ac:dyDescent="0.2">
      <c r="A202" s="111">
        <f>IF(F202&lt;&gt;"",1+MAX($A$6:A201),"")</f>
        <v>158</v>
      </c>
      <c r="B202" s="533" t="s">
        <v>1025</v>
      </c>
      <c r="C202" s="534" t="s">
        <v>1059</v>
      </c>
      <c r="D202" s="122"/>
      <c r="E202" s="555" t="s">
        <v>1104</v>
      </c>
      <c r="F202" s="552">
        <f>(338/1+1)*7.5*1.043*1.2*2</f>
        <v>6364.3859999999995</v>
      </c>
      <c r="G202" s="436">
        <v>0.1</v>
      </c>
      <c r="H202" s="539">
        <f t="shared" si="73"/>
        <v>7000.8245999999999</v>
      </c>
      <c r="I202" s="540" t="s">
        <v>427</v>
      </c>
      <c r="J202" s="553">
        <f t="shared" si="75"/>
        <v>0</v>
      </c>
      <c r="K202" s="554">
        <f t="shared" si="74"/>
        <v>0</v>
      </c>
      <c r="L202" s="120"/>
      <c r="M202" s="558"/>
    </row>
    <row r="203" spans="1:13" s="187" customFormat="1" x14ac:dyDescent="0.2">
      <c r="A203" s="111">
        <f>IF(F203&lt;&gt;"",1+MAX($A$6:A202),"")</f>
        <v>159</v>
      </c>
      <c r="B203" s="533" t="s">
        <v>1025</v>
      </c>
      <c r="C203" s="534" t="s">
        <v>1059</v>
      </c>
      <c r="D203" s="122"/>
      <c r="E203" s="555" t="s">
        <v>1105</v>
      </c>
      <c r="F203" s="552">
        <f>338/1.33*3.83*1.043*1.2</f>
        <v>1218.2302736842103</v>
      </c>
      <c r="G203" s="436">
        <v>0.1</v>
      </c>
      <c r="H203" s="539">
        <f t="shared" si="73"/>
        <v>1340.0533010526315</v>
      </c>
      <c r="I203" s="540" t="s">
        <v>427</v>
      </c>
      <c r="J203" s="553">
        <f t="shared" si="75"/>
        <v>0</v>
      </c>
      <c r="K203" s="554">
        <f t="shared" si="74"/>
        <v>0</v>
      </c>
      <c r="L203" s="120"/>
      <c r="M203" s="558"/>
    </row>
    <row r="204" spans="1:13" s="187" customFormat="1" x14ac:dyDescent="0.2">
      <c r="A204" s="111">
        <f>IF(F204&lt;&gt;"",1+MAX($A$6:A203),"")</f>
        <v>160</v>
      </c>
      <c r="B204" s="533" t="s">
        <v>1025</v>
      </c>
      <c r="C204" s="534" t="s">
        <v>1059</v>
      </c>
      <c r="D204" s="122"/>
      <c r="E204" s="555" t="s">
        <v>1106</v>
      </c>
      <c r="F204" s="552">
        <f>338*13</f>
        <v>4394</v>
      </c>
      <c r="G204" s="436">
        <v>0.1</v>
      </c>
      <c r="H204" s="539">
        <f t="shared" si="73"/>
        <v>4833.4000000000005</v>
      </c>
      <c r="I204" s="540" t="s">
        <v>18</v>
      </c>
      <c r="J204" s="553">
        <f>$J$194</f>
        <v>0</v>
      </c>
      <c r="K204" s="554">
        <f t="shared" si="74"/>
        <v>0</v>
      </c>
      <c r="L204" s="120"/>
      <c r="M204" s="558"/>
    </row>
    <row r="205" spans="1:13" s="187" customFormat="1" x14ac:dyDescent="0.2">
      <c r="A205" s="111">
        <f>IF(F205&lt;&gt;"",1+MAX($A$6:A204),"")</f>
        <v>161</v>
      </c>
      <c r="B205" s="533" t="s">
        <v>1025</v>
      </c>
      <c r="C205" s="534" t="s">
        <v>1059</v>
      </c>
      <c r="D205" s="122"/>
      <c r="E205" s="555" t="s">
        <v>1107</v>
      </c>
      <c r="F205" s="552">
        <v>338</v>
      </c>
      <c r="G205" s="436">
        <v>0.1</v>
      </c>
      <c r="H205" s="539">
        <f t="shared" si="73"/>
        <v>371.8</v>
      </c>
      <c r="I205" s="540" t="s">
        <v>15</v>
      </c>
      <c r="J205" s="553">
        <f>$J$195</f>
        <v>0</v>
      </c>
      <c r="K205" s="554">
        <f t="shared" si="74"/>
        <v>0</v>
      </c>
      <c r="L205" s="120"/>
      <c r="M205" s="558"/>
    </row>
    <row r="206" spans="1:13" s="187" customFormat="1" x14ac:dyDescent="0.2">
      <c r="A206" s="111">
        <f>IF(F206&lt;&gt;"",1+MAX($A$6:A205),"")</f>
        <v>162</v>
      </c>
      <c r="B206" s="533" t="str">
        <f>B205</f>
        <v>S2</v>
      </c>
      <c r="C206" s="534" t="str">
        <f>C205</f>
        <v>5/SD1</v>
      </c>
      <c r="D206" s="122"/>
      <c r="E206" s="555" t="s">
        <v>1108</v>
      </c>
      <c r="F206" s="552">
        <f>F205/27</f>
        <v>12.518518518518519</v>
      </c>
      <c r="G206" s="436">
        <v>0.1</v>
      </c>
      <c r="H206" s="539">
        <f t="shared" si="73"/>
        <v>13.770370370370372</v>
      </c>
      <c r="I206" s="540" t="s">
        <v>1028</v>
      </c>
      <c r="J206" s="553">
        <f>J$196</f>
        <v>0</v>
      </c>
      <c r="K206" s="554">
        <f t="shared" si="74"/>
        <v>0</v>
      </c>
      <c r="L206" s="120"/>
      <c r="M206" s="558"/>
    </row>
    <row r="207" spans="1:13" s="187" customFormat="1" ht="63" x14ac:dyDescent="0.2">
      <c r="A207" s="111" t="str">
        <f>IF(F207&lt;&gt;"",1+MAX($A$6:A206),"")</f>
        <v/>
      </c>
      <c r="B207" s="533"/>
      <c r="C207" s="534"/>
      <c r="D207" s="550"/>
      <c r="E207" s="551" t="s">
        <v>1110</v>
      </c>
      <c r="F207" s="552"/>
      <c r="G207" s="127"/>
      <c r="H207" s="539"/>
      <c r="I207" s="540"/>
      <c r="J207" s="553"/>
      <c r="K207" s="554"/>
      <c r="L207" s="120"/>
    </row>
    <row r="208" spans="1:13" s="187" customFormat="1" x14ac:dyDescent="0.2">
      <c r="A208" s="111">
        <f>IF(F208&lt;&gt;"",1+MAX($A$6:A207),"")</f>
        <v>163</v>
      </c>
      <c r="B208" s="533" t="s">
        <v>1025</v>
      </c>
      <c r="C208" s="534" t="s">
        <v>1070</v>
      </c>
      <c r="D208" s="122"/>
      <c r="E208" s="555" t="s">
        <v>1027</v>
      </c>
      <c r="F208" s="552">
        <f>38*0.67*12/27</f>
        <v>11.315555555555555</v>
      </c>
      <c r="G208" s="436">
        <v>0.1</v>
      </c>
      <c r="H208" s="539">
        <f t="shared" ref="H208:H211" si="76">F208*(1+G208)</f>
        <v>12.447111111111111</v>
      </c>
      <c r="I208" s="540" t="s">
        <v>1028</v>
      </c>
      <c r="J208" s="553">
        <f>$J$11</f>
        <v>0</v>
      </c>
      <c r="K208" s="554">
        <f t="shared" ref="K208:K211" si="77">J208*H208</f>
        <v>0</v>
      </c>
      <c r="L208" s="120"/>
      <c r="M208" s="558"/>
    </row>
    <row r="209" spans="1:13" s="187" customFormat="1" x14ac:dyDescent="0.2">
      <c r="A209" s="111">
        <f>IF(F209&lt;&gt;"",1+MAX($A$6:A208),"")</f>
        <v>164</v>
      </c>
      <c r="B209" s="533" t="s">
        <v>1025</v>
      </c>
      <c r="C209" s="534" t="s">
        <v>1070</v>
      </c>
      <c r="D209" s="122"/>
      <c r="E209" s="555" t="s">
        <v>1111</v>
      </c>
      <c r="F209" s="552">
        <f>38*12*2</f>
        <v>912</v>
      </c>
      <c r="G209" s="436">
        <v>0.1</v>
      </c>
      <c r="H209" s="539">
        <f t="shared" si="76"/>
        <v>1003.2</v>
      </c>
      <c r="I209" s="540" t="s">
        <v>1030</v>
      </c>
      <c r="J209" s="556">
        <v>0</v>
      </c>
      <c r="K209" s="554">
        <f t="shared" si="77"/>
        <v>0</v>
      </c>
      <c r="L209" s="120"/>
      <c r="M209" s="558"/>
    </row>
    <row r="210" spans="1:13" s="187" customFormat="1" x14ac:dyDescent="0.2">
      <c r="A210" s="111">
        <f>IF(F210&lt;&gt;"",1+MAX($A$6:A209),"")</f>
        <v>165</v>
      </c>
      <c r="B210" s="533" t="s">
        <v>1025</v>
      </c>
      <c r="C210" s="534" t="s">
        <v>1070</v>
      </c>
      <c r="D210" s="122"/>
      <c r="E210" s="555" t="s">
        <v>1112</v>
      </c>
      <c r="F210" s="552">
        <f>38/1.33*6*0.668*1.2*2</f>
        <v>274.83428571428573</v>
      </c>
      <c r="G210" s="436">
        <v>0.1</v>
      </c>
      <c r="H210" s="539">
        <f t="shared" si="76"/>
        <v>302.31771428571432</v>
      </c>
      <c r="I210" s="540" t="s">
        <v>427</v>
      </c>
      <c r="J210" s="553">
        <f t="shared" ref="J210:J211" si="78">$J$15</f>
        <v>0</v>
      </c>
      <c r="K210" s="554">
        <f t="shared" si="77"/>
        <v>0</v>
      </c>
      <c r="L210" s="120"/>
      <c r="M210" s="558"/>
    </row>
    <row r="211" spans="1:13" s="187" customFormat="1" x14ac:dyDescent="0.2">
      <c r="A211" s="111">
        <f>IF(F211&lt;&gt;"",1+MAX($A$6:A210),"")</f>
        <v>166</v>
      </c>
      <c r="B211" s="533" t="s">
        <v>1025</v>
      </c>
      <c r="C211" s="534" t="s">
        <v>1070</v>
      </c>
      <c r="D211" s="122"/>
      <c r="E211" s="555" t="s">
        <v>1113</v>
      </c>
      <c r="F211" s="552">
        <f>38*12*0.668*1.2*2*2*1.13</f>
        <v>1652.193792</v>
      </c>
      <c r="G211" s="436">
        <v>0.1</v>
      </c>
      <c r="H211" s="539">
        <f t="shared" si="76"/>
        <v>1817.4131712000001</v>
      </c>
      <c r="I211" s="540" t="s">
        <v>427</v>
      </c>
      <c r="J211" s="553">
        <f t="shared" si="78"/>
        <v>0</v>
      </c>
      <c r="K211" s="554">
        <f t="shared" si="77"/>
        <v>0</v>
      </c>
      <c r="L211" s="120"/>
      <c r="M211" s="558"/>
    </row>
    <row r="212" spans="1:13" s="187" customFormat="1" ht="63" x14ac:dyDescent="0.2">
      <c r="A212" s="111" t="str">
        <f>IF(F212&lt;&gt;"",1+MAX($A$6:A211),"")</f>
        <v/>
      </c>
      <c r="B212" s="533"/>
      <c r="C212" s="534"/>
      <c r="D212" s="550"/>
      <c r="E212" s="551" t="s">
        <v>1114</v>
      </c>
      <c r="F212" s="552"/>
      <c r="G212" s="127"/>
      <c r="H212" s="539"/>
      <c r="I212" s="540"/>
      <c r="J212" s="553"/>
      <c r="K212" s="554"/>
      <c r="L212" s="120"/>
    </row>
    <row r="213" spans="1:13" s="187" customFormat="1" x14ac:dyDescent="0.2">
      <c r="A213" s="111">
        <f>IF(F213&lt;&gt;"",1+MAX($A$6:A212),"")</f>
        <v>167</v>
      </c>
      <c r="B213" s="533" t="s">
        <v>1025</v>
      </c>
      <c r="C213" s="534" t="s">
        <v>1062</v>
      </c>
      <c r="D213" s="122"/>
      <c r="E213" s="555" t="s">
        <v>1100</v>
      </c>
      <c r="F213" s="552">
        <f>35*0.83*12/27</f>
        <v>12.91111111111111</v>
      </c>
      <c r="G213" s="436">
        <v>0.1</v>
      </c>
      <c r="H213" s="539">
        <f t="shared" ref="H213:H221" si="79">F213*(1+G213)</f>
        <v>14.202222222222222</v>
      </c>
      <c r="I213" s="540" t="s">
        <v>1028</v>
      </c>
      <c r="J213" s="553">
        <f>$J$188</f>
        <v>0</v>
      </c>
      <c r="K213" s="554">
        <f t="shared" ref="K213:K221" si="80">J213*H213</f>
        <v>0</v>
      </c>
      <c r="L213" s="120"/>
      <c r="M213" s="558"/>
    </row>
    <row r="214" spans="1:13" s="187" customFormat="1" x14ac:dyDescent="0.2">
      <c r="A214" s="111">
        <f>IF(F214&lt;&gt;"",1+MAX($A$6:A213),"")</f>
        <v>168</v>
      </c>
      <c r="B214" s="533" t="s">
        <v>1025</v>
      </c>
      <c r="C214" s="534" t="s">
        <v>1062</v>
      </c>
      <c r="D214" s="122"/>
      <c r="E214" s="555" t="s">
        <v>1101</v>
      </c>
      <c r="F214" s="552">
        <f>(12/1.17+1)*35*0.668*1.2*2</f>
        <v>631.61969230769239</v>
      </c>
      <c r="G214" s="436">
        <v>0.1</v>
      </c>
      <c r="H214" s="539">
        <f t="shared" si="79"/>
        <v>694.78166153846166</v>
      </c>
      <c r="I214" s="540" t="s">
        <v>427</v>
      </c>
      <c r="J214" s="553">
        <f t="shared" ref="J214:J218" si="81">$J$15</f>
        <v>0</v>
      </c>
      <c r="K214" s="554">
        <f t="shared" si="80"/>
        <v>0</v>
      </c>
      <c r="L214" s="120"/>
      <c r="M214" s="558"/>
    </row>
    <row r="215" spans="1:13" s="187" customFormat="1" x14ac:dyDescent="0.2">
      <c r="A215" s="111">
        <f>IF(F215&lt;&gt;"",1+MAX($A$6:A214),"")</f>
        <v>169</v>
      </c>
      <c r="B215" s="533" t="s">
        <v>1025</v>
      </c>
      <c r="C215" s="534" t="s">
        <v>1062</v>
      </c>
      <c r="D215" s="122"/>
      <c r="E215" s="555" t="s">
        <v>1102</v>
      </c>
      <c r="F215" s="552">
        <f>(35/1+1)*12*1.043*1.2</f>
        <v>540.69119999999998</v>
      </c>
      <c r="G215" s="436">
        <v>0.1</v>
      </c>
      <c r="H215" s="539">
        <f t="shared" si="79"/>
        <v>594.76031999999998</v>
      </c>
      <c r="I215" s="540" t="s">
        <v>427</v>
      </c>
      <c r="J215" s="553">
        <f t="shared" si="81"/>
        <v>0</v>
      </c>
      <c r="K215" s="554">
        <f t="shared" si="80"/>
        <v>0</v>
      </c>
      <c r="L215" s="120"/>
      <c r="M215" s="558"/>
    </row>
    <row r="216" spans="1:13" s="187" customFormat="1" x14ac:dyDescent="0.2">
      <c r="A216" s="111">
        <f>IF(F216&lt;&gt;"",1+MAX($A$6:A215),"")</f>
        <v>170</v>
      </c>
      <c r="B216" s="533" t="s">
        <v>1025</v>
      </c>
      <c r="C216" s="534" t="s">
        <v>1062</v>
      </c>
      <c r="D216" s="122"/>
      <c r="E216" s="555" t="s">
        <v>1103</v>
      </c>
      <c r="F216" s="552">
        <f>(35/1+1)*12*1.5*1.2</f>
        <v>777.6</v>
      </c>
      <c r="G216" s="436">
        <v>0.1</v>
      </c>
      <c r="H216" s="539">
        <f t="shared" si="79"/>
        <v>855.36000000000013</v>
      </c>
      <c r="I216" s="540" t="s">
        <v>427</v>
      </c>
      <c r="J216" s="553">
        <f t="shared" si="81"/>
        <v>0</v>
      </c>
      <c r="K216" s="554">
        <f t="shared" si="80"/>
        <v>0</v>
      </c>
      <c r="L216" s="120"/>
      <c r="M216" s="558"/>
    </row>
    <row r="217" spans="1:13" s="187" customFormat="1" x14ac:dyDescent="0.2">
      <c r="A217" s="111">
        <f>IF(F217&lt;&gt;"",1+MAX($A$6:A216),"")</f>
        <v>171</v>
      </c>
      <c r="B217" s="533" t="s">
        <v>1025</v>
      </c>
      <c r="C217" s="534" t="s">
        <v>1062</v>
      </c>
      <c r="D217" s="122"/>
      <c r="E217" s="555" t="s">
        <v>1104</v>
      </c>
      <c r="F217" s="552">
        <f>(35/1+1)*7.5*1.043*1.2*2</f>
        <v>675.86399999999992</v>
      </c>
      <c r="G217" s="436">
        <v>0.1</v>
      </c>
      <c r="H217" s="539">
        <f t="shared" si="79"/>
        <v>743.45039999999995</v>
      </c>
      <c r="I217" s="540" t="s">
        <v>427</v>
      </c>
      <c r="J217" s="553">
        <f t="shared" si="81"/>
        <v>0</v>
      </c>
      <c r="K217" s="554">
        <f t="shared" si="80"/>
        <v>0</v>
      </c>
      <c r="L217" s="120"/>
      <c r="M217" s="558"/>
    </row>
    <row r="218" spans="1:13" s="187" customFormat="1" x14ac:dyDescent="0.2">
      <c r="A218" s="111">
        <f>IF(F218&lt;&gt;"",1+MAX($A$6:A217),"")</f>
        <v>172</v>
      </c>
      <c r="B218" s="533" t="s">
        <v>1025</v>
      </c>
      <c r="C218" s="534" t="s">
        <v>1062</v>
      </c>
      <c r="D218" s="122"/>
      <c r="E218" s="555" t="s">
        <v>1105</v>
      </c>
      <c r="F218" s="552">
        <f>35/1.33*3.83*1.043*1.2</f>
        <v>126.14810526315787</v>
      </c>
      <c r="G218" s="436">
        <v>0.1</v>
      </c>
      <c r="H218" s="539">
        <f t="shared" si="79"/>
        <v>138.76291578947368</v>
      </c>
      <c r="I218" s="540" t="s">
        <v>427</v>
      </c>
      <c r="J218" s="553">
        <f t="shared" si="81"/>
        <v>0</v>
      </c>
      <c r="K218" s="554">
        <f t="shared" si="80"/>
        <v>0</v>
      </c>
      <c r="L218" s="120"/>
      <c r="M218" s="558"/>
    </row>
    <row r="219" spans="1:13" s="187" customFormat="1" x14ac:dyDescent="0.2">
      <c r="A219" s="111">
        <f>IF(F219&lt;&gt;"",1+MAX($A$6:A218),"")</f>
        <v>173</v>
      </c>
      <c r="B219" s="533" t="s">
        <v>1025</v>
      </c>
      <c r="C219" s="534" t="s">
        <v>1062</v>
      </c>
      <c r="D219" s="122"/>
      <c r="E219" s="555" t="s">
        <v>1106</v>
      </c>
      <c r="F219" s="552">
        <f>35*13</f>
        <v>455</v>
      </c>
      <c r="G219" s="436">
        <v>0.1</v>
      </c>
      <c r="H219" s="539">
        <f t="shared" si="79"/>
        <v>500.50000000000006</v>
      </c>
      <c r="I219" s="540" t="s">
        <v>18</v>
      </c>
      <c r="J219" s="553">
        <f>$J$194</f>
        <v>0</v>
      </c>
      <c r="K219" s="554">
        <f t="shared" si="80"/>
        <v>0</v>
      </c>
      <c r="L219" s="120"/>
      <c r="M219" s="558"/>
    </row>
    <row r="220" spans="1:13" s="187" customFormat="1" x14ac:dyDescent="0.2">
      <c r="A220" s="111">
        <f>IF(F220&lt;&gt;"",1+MAX($A$6:A219),"")</f>
        <v>174</v>
      </c>
      <c r="B220" s="533" t="s">
        <v>1025</v>
      </c>
      <c r="C220" s="534" t="s">
        <v>1062</v>
      </c>
      <c r="D220" s="122"/>
      <c r="E220" s="555" t="s">
        <v>1107</v>
      </c>
      <c r="F220" s="552">
        <v>35</v>
      </c>
      <c r="G220" s="436">
        <v>0.1</v>
      </c>
      <c r="H220" s="539">
        <f t="shared" si="79"/>
        <v>38.5</v>
      </c>
      <c r="I220" s="540" t="s">
        <v>15</v>
      </c>
      <c r="J220" s="553">
        <f>$J$195</f>
        <v>0</v>
      </c>
      <c r="K220" s="554">
        <f t="shared" si="80"/>
        <v>0</v>
      </c>
      <c r="L220" s="120"/>
      <c r="M220" s="558"/>
    </row>
    <row r="221" spans="1:13" s="187" customFormat="1" x14ac:dyDescent="0.2">
      <c r="A221" s="111">
        <f>IF(F221&lt;&gt;"",1+MAX($A$6:A220),"")</f>
        <v>175</v>
      </c>
      <c r="B221" s="533" t="str">
        <f>B220</f>
        <v>S2</v>
      </c>
      <c r="C221" s="534" t="str">
        <f>C220</f>
        <v>4/SD1</v>
      </c>
      <c r="D221" s="122"/>
      <c r="E221" s="555" t="s">
        <v>1108</v>
      </c>
      <c r="F221" s="552">
        <f>F220/27</f>
        <v>1.2962962962962963</v>
      </c>
      <c r="G221" s="436">
        <v>0.1</v>
      </c>
      <c r="H221" s="539">
        <f t="shared" si="79"/>
        <v>1.425925925925926</v>
      </c>
      <c r="I221" s="540" t="s">
        <v>1028</v>
      </c>
      <c r="J221" s="553">
        <f>J$196</f>
        <v>0</v>
      </c>
      <c r="K221" s="554">
        <f t="shared" si="80"/>
        <v>0</v>
      </c>
      <c r="L221" s="120"/>
      <c r="M221" s="558"/>
    </row>
    <row r="222" spans="1:13" s="187" customFormat="1" ht="63" x14ac:dyDescent="0.2">
      <c r="A222" s="111" t="str">
        <f>IF(F222&lt;&gt;"",1+MAX($A$6:A221),"")</f>
        <v/>
      </c>
      <c r="B222" s="533"/>
      <c r="C222" s="534"/>
      <c r="D222" s="550"/>
      <c r="E222" s="551" t="s">
        <v>1115</v>
      </c>
      <c r="F222" s="552"/>
      <c r="G222" s="127"/>
      <c r="H222" s="539"/>
      <c r="I222" s="540"/>
      <c r="J222" s="553"/>
      <c r="K222" s="554"/>
      <c r="L222" s="120"/>
    </row>
    <row r="223" spans="1:13" s="187" customFormat="1" x14ac:dyDescent="0.2">
      <c r="A223" s="111">
        <f>IF(F223&lt;&gt;"",1+MAX($A$6:A222),"")</f>
        <v>176</v>
      </c>
      <c r="B223" s="533" t="s">
        <v>1025</v>
      </c>
      <c r="C223" s="534" t="s">
        <v>1064</v>
      </c>
      <c r="D223" s="122"/>
      <c r="E223" s="555" t="s">
        <v>1100</v>
      </c>
      <c r="F223" s="552">
        <f>22*1.17*4/27+22*1*8/27</f>
        <v>10.331851851851852</v>
      </c>
      <c r="G223" s="436">
        <v>0.1</v>
      </c>
      <c r="H223" s="539">
        <f t="shared" ref="H223:H232" si="82">F223*(1+G223)</f>
        <v>11.365037037037037</v>
      </c>
      <c r="I223" s="540" t="s">
        <v>1028</v>
      </c>
      <c r="J223" s="553">
        <f>$J$188</f>
        <v>0</v>
      </c>
      <c r="K223" s="554">
        <f t="shared" ref="K223:K232" si="83">J223*H223</f>
        <v>0</v>
      </c>
      <c r="L223" s="120"/>
      <c r="M223" s="558"/>
    </row>
    <row r="224" spans="1:13" s="187" customFormat="1" x14ac:dyDescent="0.2">
      <c r="A224" s="111">
        <f>IF(F224&lt;&gt;"",1+MAX($A$6:A223),"")</f>
        <v>177</v>
      </c>
      <c r="B224" s="533" t="s">
        <v>1025</v>
      </c>
      <c r="C224" s="534" t="s">
        <v>1064</v>
      </c>
      <c r="D224" s="122"/>
      <c r="E224" s="555" t="s">
        <v>1101</v>
      </c>
      <c r="F224" s="552">
        <f>(12/1.17+1)*22*0.668*1.2*2</f>
        <v>397.01809230769237</v>
      </c>
      <c r="G224" s="436">
        <v>0.1</v>
      </c>
      <c r="H224" s="539">
        <f t="shared" si="82"/>
        <v>436.71990153846167</v>
      </c>
      <c r="I224" s="540" t="s">
        <v>427</v>
      </c>
      <c r="J224" s="553">
        <f t="shared" ref="J224:J229" si="84">$J$15</f>
        <v>0</v>
      </c>
      <c r="K224" s="554">
        <f t="shared" si="83"/>
        <v>0</v>
      </c>
      <c r="L224" s="120"/>
      <c r="M224" s="558"/>
    </row>
    <row r="225" spans="1:13" s="187" customFormat="1" x14ac:dyDescent="0.2">
      <c r="A225" s="111">
        <f>IF(F225&lt;&gt;"",1+MAX($A$6:A224),"")</f>
        <v>178</v>
      </c>
      <c r="B225" s="533" t="s">
        <v>1025</v>
      </c>
      <c r="C225" s="534" t="s">
        <v>1064</v>
      </c>
      <c r="D225" s="122"/>
      <c r="E225" s="555" t="s">
        <v>1102</v>
      </c>
      <c r="F225" s="552">
        <f>(22/1+1)*12*1.043*1.2</f>
        <v>345.44159999999999</v>
      </c>
      <c r="G225" s="436">
        <v>0.1</v>
      </c>
      <c r="H225" s="539">
        <f t="shared" si="82"/>
        <v>379.98576000000003</v>
      </c>
      <c r="I225" s="540" t="s">
        <v>427</v>
      </c>
      <c r="J225" s="553">
        <f t="shared" si="84"/>
        <v>0</v>
      </c>
      <c r="K225" s="554">
        <f t="shared" si="83"/>
        <v>0</v>
      </c>
      <c r="L225" s="120"/>
      <c r="M225" s="558"/>
    </row>
    <row r="226" spans="1:13" s="187" customFormat="1" x14ac:dyDescent="0.2">
      <c r="A226" s="111">
        <f>IF(F226&lt;&gt;"",1+MAX($A$6:A225),"")</f>
        <v>179</v>
      </c>
      <c r="B226" s="533" t="s">
        <v>1025</v>
      </c>
      <c r="C226" s="534" t="s">
        <v>1064</v>
      </c>
      <c r="D226" s="122"/>
      <c r="E226" s="555" t="s">
        <v>1116</v>
      </c>
      <c r="F226" s="552">
        <f>(22/1.17+1)*12*1.5*1.2</f>
        <v>427.75384615384615</v>
      </c>
      <c r="G226" s="436">
        <v>0.1</v>
      </c>
      <c r="H226" s="539">
        <f t="shared" si="82"/>
        <v>470.52923076923082</v>
      </c>
      <c r="I226" s="540" t="s">
        <v>427</v>
      </c>
      <c r="J226" s="553">
        <f t="shared" si="84"/>
        <v>0</v>
      </c>
      <c r="K226" s="554">
        <f t="shared" si="83"/>
        <v>0</v>
      </c>
      <c r="L226" s="120"/>
      <c r="M226" s="558"/>
    </row>
    <row r="227" spans="1:13" s="187" customFormat="1" x14ac:dyDescent="0.2">
      <c r="A227" s="111">
        <f>IF(F227&lt;&gt;"",1+MAX($A$6:A226),"")</f>
        <v>180</v>
      </c>
      <c r="B227" s="533" t="s">
        <v>1025</v>
      </c>
      <c r="C227" s="534" t="s">
        <v>1064</v>
      </c>
      <c r="D227" s="122"/>
      <c r="E227" s="555" t="s">
        <v>1117</v>
      </c>
      <c r="F227" s="552">
        <f>(22/1.17+1)*7.5*1.043*1.2*2</f>
        <v>371.78938461538456</v>
      </c>
      <c r="G227" s="436">
        <v>0.1</v>
      </c>
      <c r="H227" s="539">
        <f t="shared" si="82"/>
        <v>408.96832307692307</v>
      </c>
      <c r="I227" s="540" t="s">
        <v>427</v>
      </c>
      <c r="J227" s="553">
        <f t="shared" si="84"/>
        <v>0</v>
      </c>
      <c r="K227" s="554">
        <f t="shared" si="83"/>
        <v>0</v>
      </c>
      <c r="L227" s="120"/>
      <c r="M227" s="558"/>
    </row>
    <row r="228" spans="1:13" s="187" customFormat="1" x14ac:dyDescent="0.2">
      <c r="A228" s="111">
        <f>IF(F228&lt;&gt;"",1+MAX($A$6:A227),"")</f>
        <v>181</v>
      </c>
      <c r="B228" s="533" t="s">
        <v>1025</v>
      </c>
      <c r="C228" s="534" t="s">
        <v>1064</v>
      </c>
      <c r="D228" s="122"/>
      <c r="E228" s="555" t="s">
        <v>1105</v>
      </c>
      <c r="F228" s="552">
        <f>22/1.33*3.83*1.043*1.2</f>
        <v>79.293094736842093</v>
      </c>
      <c r="G228" s="436">
        <v>0.1</v>
      </c>
      <c r="H228" s="539">
        <f t="shared" si="82"/>
        <v>87.222404210526307</v>
      </c>
      <c r="I228" s="540" t="s">
        <v>427</v>
      </c>
      <c r="J228" s="553">
        <f t="shared" si="84"/>
        <v>0</v>
      </c>
      <c r="K228" s="554">
        <f t="shared" si="83"/>
        <v>0</v>
      </c>
      <c r="L228" s="120"/>
      <c r="M228" s="558"/>
    </row>
    <row r="229" spans="1:13" s="187" customFormat="1" x14ac:dyDescent="0.2">
      <c r="A229" s="111">
        <f>IF(F229&lt;&gt;"",1+MAX($A$6:A228),"")</f>
        <v>182</v>
      </c>
      <c r="B229" s="533" t="s">
        <v>1025</v>
      </c>
      <c r="C229" s="534" t="s">
        <v>1064</v>
      </c>
      <c r="D229" s="122"/>
      <c r="E229" s="555" t="s">
        <v>1118</v>
      </c>
      <c r="F229" s="552">
        <f>22/1*3*1.043*1.2*2</f>
        <v>165.21119999999999</v>
      </c>
      <c r="G229" s="436">
        <v>0.1</v>
      </c>
      <c r="H229" s="539">
        <f t="shared" si="82"/>
        <v>181.73232000000002</v>
      </c>
      <c r="I229" s="540" t="s">
        <v>427</v>
      </c>
      <c r="J229" s="553">
        <f t="shared" si="84"/>
        <v>0</v>
      </c>
      <c r="K229" s="554">
        <f t="shared" si="83"/>
        <v>0</v>
      </c>
      <c r="L229" s="120"/>
      <c r="M229" s="558"/>
    </row>
    <row r="230" spans="1:13" s="187" customFormat="1" x14ac:dyDescent="0.2">
      <c r="A230" s="111">
        <f>IF(F230&lt;&gt;"",1+MAX($A$6:A229),"")</f>
        <v>183</v>
      </c>
      <c r="B230" s="533" t="s">
        <v>1025</v>
      </c>
      <c r="C230" s="534" t="s">
        <v>1064</v>
      </c>
      <c r="D230" s="122"/>
      <c r="E230" s="555" t="s">
        <v>1106</v>
      </c>
      <c r="F230" s="552">
        <f>22*13</f>
        <v>286</v>
      </c>
      <c r="G230" s="436">
        <v>0.1</v>
      </c>
      <c r="H230" s="539">
        <f t="shared" si="82"/>
        <v>314.60000000000002</v>
      </c>
      <c r="I230" s="540" t="s">
        <v>18</v>
      </c>
      <c r="J230" s="553">
        <f>$J$194</f>
        <v>0</v>
      </c>
      <c r="K230" s="554">
        <f t="shared" si="83"/>
        <v>0</v>
      </c>
      <c r="L230" s="120"/>
      <c r="M230" s="558"/>
    </row>
    <row r="231" spans="1:13" s="187" customFormat="1" x14ac:dyDescent="0.2">
      <c r="A231" s="111">
        <f>IF(F231&lt;&gt;"",1+MAX($A$6:A230),"")</f>
        <v>184</v>
      </c>
      <c r="B231" s="533" t="s">
        <v>1025</v>
      </c>
      <c r="C231" s="534" t="s">
        <v>1064</v>
      </c>
      <c r="D231" s="122"/>
      <c r="E231" s="555" t="s">
        <v>1107</v>
      </c>
      <c r="F231" s="552">
        <v>22</v>
      </c>
      <c r="G231" s="436">
        <v>0.1</v>
      </c>
      <c r="H231" s="539">
        <f t="shared" si="82"/>
        <v>24.200000000000003</v>
      </c>
      <c r="I231" s="540" t="s">
        <v>15</v>
      </c>
      <c r="J231" s="553">
        <f>$J$195</f>
        <v>0</v>
      </c>
      <c r="K231" s="554">
        <f t="shared" si="83"/>
        <v>0</v>
      </c>
      <c r="L231" s="120"/>
      <c r="M231" s="558"/>
    </row>
    <row r="232" spans="1:13" s="187" customFormat="1" x14ac:dyDescent="0.2">
      <c r="A232" s="111">
        <f>IF(F232&lt;&gt;"",1+MAX($A$6:A231),"")</f>
        <v>185</v>
      </c>
      <c r="B232" s="533" t="str">
        <f>B231</f>
        <v>S2</v>
      </c>
      <c r="C232" s="534" t="str">
        <f>C231</f>
        <v>3/SD1</v>
      </c>
      <c r="D232" s="122"/>
      <c r="E232" s="555" t="s">
        <v>1108</v>
      </c>
      <c r="F232" s="552">
        <f>F231/27</f>
        <v>0.81481481481481477</v>
      </c>
      <c r="G232" s="436">
        <v>0.1</v>
      </c>
      <c r="H232" s="539">
        <f t="shared" si="82"/>
        <v>0.89629629629629637</v>
      </c>
      <c r="I232" s="540" t="s">
        <v>1028</v>
      </c>
      <c r="J232" s="553">
        <f>J$196</f>
        <v>0</v>
      </c>
      <c r="K232" s="554">
        <f t="shared" si="83"/>
        <v>0</v>
      </c>
      <c r="L232" s="120"/>
      <c r="M232" s="558"/>
    </row>
    <row r="233" spans="1:13" s="187" customFormat="1" ht="63" x14ac:dyDescent="0.2">
      <c r="A233" s="111" t="str">
        <f>IF(F233&lt;&gt;"",1+MAX($A$6:A232),"")</f>
        <v/>
      </c>
      <c r="B233" s="533"/>
      <c r="C233" s="534"/>
      <c r="D233" s="550"/>
      <c r="E233" s="551" t="s">
        <v>1119</v>
      </c>
      <c r="F233" s="552"/>
      <c r="G233" s="127"/>
      <c r="H233" s="539"/>
      <c r="I233" s="540"/>
      <c r="J233" s="553"/>
      <c r="K233" s="554"/>
      <c r="L233" s="120"/>
    </row>
    <row r="234" spans="1:13" s="187" customFormat="1" x14ac:dyDescent="0.2">
      <c r="A234" s="111">
        <f>IF(F234&lt;&gt;"",1+MAX($A$6:A233),"")</f>
        <v>186</v>
      </c>
      <c r="B234" s="533" t="s">
        <v>1025</v>
      </c>
      <c r="C234" s="534" t="s">
        <v>1066</v>
      </c>
      <c r="D234" s="122"/>
      <c r="E234" s="555" t="s">
        <v>1100</v>
      </c>
      <c r="F234" s="552">
        <f>84*1*12/27</f>
        <v>37.333333333333336</v>
      </c>
      <c r="G234" s="436">
        <v>0.1</v>
      </c>
      <c r="H234" s="539">
        <f t="shared" ref="H234:H243" si="85">F234*(1+G234)</f>
        <v>41.06666666666667</v>
      </c>
      <c r="I234" s="540" t="s">
        <v>1028</v>
      </c>
      <c r="J234" s="553">
        <f>$J$188</f>
        <v>0</v>
      </c>
      <c r="K234" s="554">
        <f t="shared" ref="K234:K243" si="86">J234*H234</f>
        <v>0</v>
      </c>
      <c r="L234" s="120"/>
      <c r="M234" s="558"/>
    </row>
    <row r="235" spans="1:13" s="187" customFormat="1" x14ac:dyDescent="0.2">
      <c r="A235" s="111">
        <f>IF(F235&lt;&gt;"",1+MAX($A$6:A234),"")</f>
        <v>187</v>
      </c>
      <c r="B235" s="533" t="s">
        <v>1025</v>
      </c>
      <c r="C235" s="534" t="s">
        <v>1066</v>
      </c>
      <c r="D235" s="122"/>
      <c r="E235" s="555" t="s">
        <v>1120</v>
      </c>
      <c r="F235" s="552">
        <f>(12/1+1)*84*0.668*1.2*2</f>
        <v>1750.6944000000001</v>
      </c>
      <c r="G235" s="436">
        <v>0.1</v>
      </c>
      <c r="H235" s="539">
        <f t="shared" si="85"/>
        <v>1925.7638400000003</v>
      </c>
      <c r="I235" s="540" t="s">
        <v>427</v>
      </c>
      <c r="J235" s="553">
        <f t="shared" ref="J235:J240" si="87">$J$15</f>
        <v>0</v>
      </c>
      <c r="K235" s="554">
        <f t="shared" si="86"/>
        <v>0</v>
      </c>
      <c r="L235" s="120"/>
      <c r="M235" s="558"/>
    </row>
    <row r="236" spans="1:13" s="187" customFormat="1" x14ac:dyDescent="0.2">
      <c r="A236" s="111">
        <f>IF(F236&lt;&gt;"",1+MAX($A$6:A235),"")</f>
        <v>188</v>
      </c>
      <c r="B236" s="533" t="s">
        <v>1025</v>
      </c>
      <c r="C236" s="534" t="s">
        <v>1066</v>
      </c>
      <c r="D236" s="122"/>
      <c r="E236" s="555" t="s">
        <v>1102</v>
      </c>
      <c r="F236" s="552">
        <f>(84/1+1)*12*1.043*1.2</f>
        <v>1276.6319999999998</v>
      </c>
      <c r="G236" s="436">
        <v>0.1</v>
      </c>
      <c r="H236" s="539">
        <f t="shared" si="85"/>
        <v>1404.2952</v>
      </c>
      <c r="I236" s="540" t="s">
        <v>427</v>
      </c>
      <c r="J236" s="553">
        <f t="shared" si="87"/>
        <v>0</v>
      </c>
      <c r="K236" s="554">
        <f t="shared" si="86"/>
        <v>0</v>
      </c>
      <c r="L236" s="120"/>
      <c r="M236" s="558"/>
    </row>
    <row r="237" spans="1:13" s="187" customFormat="1" x14ac:dyDescent="0.2">
      <c r="A237" s="111">
        <f>IF(F237&lt;&gt;"",1+MAX($A$6:A236),"")</f>
        <v>189</v>
      </c>
      <c r="B237" s="533" t="s">
        <v>1025</v>
      </c>
      <c r="C237" s="534" t="s">
        <v>1066</v>
      </c>
      <c r="D237" s="122"/>
      <c r="E237" s="555" t="s">
        <v>1103</v>
      </c>
      <c r="F237" s="552">
        <f>(84/1+1)*12*1.5*1.2</f>
        <v>1836</v>
      </c>
      <c r="G237" s="436">
        <v>0.1</v>
      </c>
      <c r="H237" s="539">
        <f t="shared" si="85"/>
        <v>2019.6000000000001</v>
      </c>
      <c r="I237" s="540" t="s">
        <v>427</v>
      </c>
      <c r="J237" s="553">
        <f t="shared" si="87"/>
        <v>0</v>
      </c>
      <c r="K237" s="554">
        <f t="shared" si="86"/>
        <v>0</v>
      </c>
      <c r="L237" s="120"/>
      <c r="M237" s="558"/>
    </row>
    <row r="238" spans="1:13" s="187" customFormat="1" x14ac:dyDescent="0.2">
      <c r="A238" s="111">
        <f>IF(F238&lt;&gt;"",1+MAX($A$6:A237),"")</f>
        <v>190</v>
      </c>
      <c r="B238" s="533" t="s">
        <v>1025</v>
      </c>
      <c r="C238" s="534" t="s">
        <v>1066</v>
      </c>
      <c r="D238" s="122"/>
      <c r="E238" s="555" t="s">
        <v>1117</v>
      </c>
      <c r="F238" s="552">
        <f>(84/1.17+1)*7.5*1.043*1.2*2</f>
        <v>1366.6509230769227</v>
      </c>
      <c r="G238" s="436">
        <v>0.1</v>
      </c>
      <c r="H238" s="539">
        <f t="shared" si="85"/>
        <v>1503.3160153846152</v>
      </c>
      <c r="I238" s="540" t="s">
        <v>427</v>
      </c>
      <c r="J238" s="553">
        <f t="shared" si="87"/>
        <v>0</v>
      </c>
      <c r="K238" s="554">
        <f t="shared" si="86"/>
        <v>0</v>
      </c>
      <c r="L238" s="120"/>
      <c r="M238" s="558"/>
    </row>
    <row r="239" spans="1:13" s="187" customFormat="1" x14ac:dyDescent="0.2">
      <c r="A239" s="111">
        <f>IF(F239&lt;&gt;"",1+MAX($A$6:A238),"")</f>
        <v>191</v>
      </c>
      <c r="B239" s="533" t="s">
        <v>1025</v>
      </c>
      <c r="C239" s="534" t="s">
        <v>1066</v>
      </c>
      <c r="D239" s="122"/>
      <c r="E239" s="555" t="s">
        <v>1105</v>
      </c>
      <c r="F239" s="552">
        <f>84/1.33*3.83*1.043*1.2</f>
        <v>302.75545263157892</v>
      </c>
      <c r="G239" s="436">
        <v>0.1</v>
      </c>
      <c r="H239" s="539">
        <f t="shared" si="85"/>
        <v>333.03099789473686</v>
      </c>
      <c r="I239" s="540" t="s">
        <v>427</v>
      </c>
      <c r="J239" s="553">
        <f t="shared" si="87"/>
        <v>0</v>
      </c>
      <c r="K239" s="554">
        <f t="shared" si="86"/>
        <v>0</v>
      </c>
      <c r="L239" s="120"/>
      <c r="M239" s="558"/>
    </row>
    <row r="240" spans="1:13" s="187" customFormat="1" x14ac:dyDescent="0.2">
      <c r="A240" s="111">
        <f>IF(F240&lt;&gt;"",1+MAX($A$6:A239),"")</f>
        <v>192</v>
      </c>
      <c r="B240" s="533" t="s">
        <v>1025</v>
      </c>
      <c r="C240" s="534" t="s">
        <v>1066</v>
      </c>
      <c r="D240" s="122"/>
      <c r="E240" s="555" t="s">
        <v>1118</v>
      </c>
      <c r="F240" s="552">
        <f>84/1*3*1.043*1.2*2</f>
        <v>630.80639999999983</v>
      </c>
      <c r="G240" s="436">
        <v>0.1</v>
      </c>
      <c r="H240" s="539">
        <f t="shared" si="85"/>
        <v>693.88703999999984</v>
      </c>
      <c r="I240" s="540" t="s">
        <v>427</v>
      </c>
      <c r="J240" s="553">
        <f t="shared" si="87"/>
        <v>0</v>
      </c>
      <c r="K240" s="554">
        <f t="shared" si="86"/>
        <v>0</v>
      </c>
      <c r="L240" s="120"/>
      <c r="M240" s="558"/>
    </row>
    <row r="241" spans="1:13" s="187" customFormat="1" x14ac:dyDescent="0.2">
      <c r="A241" s="111">
        <f>IF(F241&lt;&gt;"",1+MAX($A$6:A240),"")</f>
        <v>193</v>
      </c>
      <c r="B241" s="533" t="s">
        <v>1025</v>
      </c>
      <c r="C241" s="534" t="s">
        <v>1066</v>
      </c>
      <c r="D241" s="122"/>
      <c r="E241" s="555" t="s">
        <v>1106</v>
      </c>
      <c r="F241" s="552">
        <f>84*13</f>
        <v>1092</v>
      </c>
      <c r="G241" s="436">
        <v>0.1</v>
      </c>
      <c r="H241" s="539">
        <f t="shared" si="85"/>
        <v>1201.2</v>
      </c>
      <c r="I241" s="540" t="s">
        <v>18</v>
      </c>
      <c r="J241" s="553">
        <f>$J$194</f>
        <v>0</v>
      </c>
      <c r="K241" s="554">
        <f t="shared" si="86"/>
        <v>0</v>
      </c>
      <c r="L241" s="120"/>
      <c r="M241" s="558"/>
    </row>
    <row r="242" spans="1:13" s="187" customFormat="1" x14ac:dyDescent="0.2">
      <c r="A242" s="111">
        <f>IF(F242&lt;&gt;"",1+MAX($A$6:A241),"")</f>
        <v>194</v>
      </c>
      <c r="B242" s="533" t="s">
        <v>1025</v>
      </c>
      <c r="C242" s="534" t="s">
        <v>1066</v>
      </c>
      <c r="D242" s="122"/>
      <c r="E242" s="555" t="s">
        <v>1107</v>
      </c>
      <c r="F242" s="552">
        <v>84</v>
      </c>
      <c r="G242" s="436">
        <v>0.1</v>
      </c>
      <c r="H242" s="539">
        <f t="shared" si="85"/>
        <v>92.4</v>
      </c>
      <c r="I242" s="540" t="s">
        <v>15</v>
      </c>
      <c r="J242" s="553">
        <f>$J$195</f>
        <v>0</v>
      </c>
      <c r="K242" s="554">
        <f t="shared" si="86"/>
        <v>0</v>
      </c>
      <c r="L242" s="120"/>
      <c r="M242" s="558"/>
    </row>
    <row r="243" spans="1:13" s="187" customFormat="1" x14ac:dyDescent="0.2">
      <c r="A243" s="111">
        <f>IF(F243&lt;&gt;"",1+MAX($A$6:A242),"")</f>
        <v>195</v>
      </c>
      <c r="B243" s="533" t="str">
        <f>B242</f>
        <v>S2</v>
      </c>
      <c r="C243" s="534" t="str">
        <f>C242</f>
        <v>2/SD1</v>
      </c>
      <c r="D243" s="122"/>
      <c r="E243" s="555" t="s">
        <v>1108</v>
      </c>
      <c r="F243" s="552">
        <f>F242/27</f>
        <v>3.1111111111111112</v>
      </c>
      <c r="G243" s="436">
        <v>0.1</v>
      </c>
      <c r="H243" s="539">
        <f t="shared" si="85"/>
        <v>3.4222222222222225</v>
      </c>
      <c r="I243" s="540" t="s">
        <v>1028</v>
      </c>
      <c r="J243" s="553">
        <f>J$196</f>
        <v>0</v>
      </c>
      <c r="K243" s="554">
        <f t="shared" si="86"/>
        <v>0</v>
      </c>
      <c r="L243" s="120"/>
      <c r="M243" s="558"/>
    </row>
    <row r="244" spans="1:13" s="187" customFormat="1" ht="63" x14ac:dyDescent="0.2">
      <c r="A244" s="111" t="str">
        <f>IF(F244&lt;&gt;"",1+MAX($A$6:A243),"")</f>
        <v/>
      </c>
      <c r="B244" s="533"/>
      <c r="C244" s="534"/>
      <c r="D244" s="550"/>
      <c r="E244" s="551" t="s">
        <v>1121</v>
      </c>
      <c r="F244" s="552"/>
      <c r="G244" s="127"/>
      <c r="H244" s="539"/>
      <c r="I244" s="540"/>
      <c r="J244" s="553"/>
      <c r="K244" s="554"/>
      <c r="L244" s="120"/>
    </row>
    <row r="245" spans="1:13" s="187" customFormat="1" x14ac:dyDescent="0.2">
      <c r="A245" s="111">
        <f>IF(F245&lt;&gt;"",1+MAX($A$6:A244),"")</f>
        <v>196</v>
      </c>
      <c r="B245" s="533" t="s">
        <v>1025</v>
      </c>
      <c r="C245" s="534" t="s">
        <v>1068</v>
      </c>
      <c r="D245" s="122"/>
      <c r="E245" s="555" t="s">
        <v>1100</v>
      </c>
      <c r="F245" s="552">
        <f>22*0.83*12/27</f>
        <v>8.1155555555555541</v>
      </c>
      <c r="G245" s="436">
        <v>0.1</v>
      </c>
      <c r="H245" s="539">
        <f t="shared" ref="H245:H253" si="88">F245*(1+G245)</f>
        <v>8.9271111111111097</v>
      </c>
      <c r="I245" s="540" t="s">
        <v>1028</v>
      </c>
      <c r="J245" s="553">
        <f>$J$188</f>
        <v>0</v>
      </c>
      <c r="K245" s="554">
        <f t="shared" ref="K245:K253" si="89">J245*H245</f>
        <v>0</v>
      </c>
      <c r="L245" s="120"/>
      <c r="M245" s="558"/>
    </row>
    <row r="246" spans="1:13" s="187" customFormat="1" x14ac:dyDescent="0.2">
      <c r="A246" s="111">
        <f>IF(F246&lt;&gt;"",1+MAX($A$6:A245),"")</f>
        <v>197</v>
      </c>
      <c r="B246" s="533" t="s">
        <v>1025</v>
      </c>
      <c r="C246" s="534" t="s">
        <v>1068</v>
      </c>
      <c r="D246" s="122"/>
      <c r="E246" s="555" t="s">
        <v>1101</v>
      </c>
      <c r="F246" s="552">
        <f>(12/1.17+1)*22*0.668*1.2*2</f>
        <v>397.01809230769237</v>
      </c>
      <c r="G246" s="436">
        <v>0.1</v>
      </c>
      <c r="H246" s="539">
        <f t="shared" si="88"/>
        <v>436.71990153846167</v>
      </c>
      <c r="I246" s="540" t="s">
        <v>427</v>
      </c>
      <c r="J246" s="553">
        <f t="shared" ref="J246:J250" si="90">$J$15</f>
        <v>0</v>
      </c>
      <c r="K246" s="554">
        <f t="shared" si="89"/>
        <v>0</v>
      </c>
      <c r="L246" s="120"/>
      <c r="M246" s="558"/>
    </row>
    <row r="247" spans="1:13" s="187" customFormat="1" x14ac:dyDescent="0.2">
      <c r="A247" s="111">
        <f>IF(F247&lt;&gt;"",1+MAX($A$6:A246),"")</f>
        <v>198</v>
      </c>
      <c r="B247" s="533" t="s">
        <v>1025</v>
      </c>
      <c r="C247" s="534" t="s">
        <v>1068</v>
      </c>
      <c r="D247" s="122"/>
      <c r="E247" s="555" t="s">
        <v>1102</v>
      </c>
      <c r="F247" s="552">
        <f>(22/1+1)*12*1.043*1.2</f>
        <v>345.44159999999999</v>
      </c>
      <c r="G247" s="436">
        <v>0.1</v>
      </c>
      <c r="H247" s="539">
        <f t="shared" si="88"/>
        <v>379.98576000000003</v>
      </c>
      <c r="I247" s="540" t="s">
        <v>427</v>
      </c>
      <c r="J247" s="553">
        <f t="shared" si="90"/>
        <v>0</v>
      </c>
      <c r="K247" s="554">
        <f t="shared" si="89"/>
        <v>0</v>
      </c>
      <c r="L247" s="120"/>
      <c r="M247" s="558"/>
    </row>
    <row r="248" spans="1:13" s="187" customFormat="1" x14ac:dyDescent="0.2">
      <c r="A248" s="111">
        <f>IF(F248&lt;&gt;"",1+MAX($A$6:A247),"")</f>
        <v>199</v>
      </c>
      <c r="B248" s="533" t="s">
        <v>1025</v>
      </c>
      <c r="C248" s="534" t="s">
        <v>1068</v>
      </c>
      <c r="D248" s="122"/>
      <c r="E248" s="555" t="s">
        <v>1103</v>
      </c>
      <c r="F248" s="552">
        <f>(22/1+1)*12*1.5*1.2</f>
        <v>496.79999999999995</v>
      </c>
      <c r="G248" s="436">
        <v>0.1</v>
      </c>
      <c r="H248" s="539">
        <f t="shared" si="88"/>
        <v>546.48</v>
      </c>
      <c r="I248" s="540" t="s">
        <v>427</v>
      </c>
      <c r="J248" s="553">
        <f t="shared" si="90"/>
        <v>0</v>
      </c>
      <c r="K248" s="554">
        <f t="shared" si="89"/>
        <v>0</v>
      </c>
      <c r="L248" s="120"/>
      <c r="M248" s="558"/>
    </row>
    <row r="249" spans="1:13" s="187" customFormat="1" x14ac:dyDescent="0.2">
      <c r="A249" s="111">
        <f>IF(F249&lt;&gt;"",1+MAX($A$6:A248),"")</f>
        <v>200</v>
      </c>
      <c r="B249" s="533" t="s">
        <v>1025</v>
      </c>
      <c r="C249" s="534" t="s">
        <v>1068</v>
      </c>
      <c r="D249" s="122"/>
      <c r="E249" s="555" t="s">
        <v>1104</v>
      </c>
      <c r="F249" s="552">
        <f>(22/1+1)*7.5*1.043*1.2*2</f>
        <v>431.80199999999996</v>
      </c>
      <c r="G249" s="436">
        <v>0.1</v>
      </c>
      <c r="H249" s="539">
        <f t="shared" si="88"/>
        <v>474.98219999999998</v>
      </c>
      <c r="I249" s="540" t="s">
        <v>427</v>
      </c>
      <c r="J249" s="553">
        <f t="shared" si="90"/>
        <v>0</v>
      </c>
      <c r="K249" s="554">
        <f t="shared" si="89"/>
        <v>0</v>
      </c>
      <c r="L249" s="120"/>
      <c r="M249" s="558"/>
    </row>
    <row r="250" spans="1:13" s="187" customFormat="1" x14ac:dyDescent="0.2">
      <c r="A250" s="111">
        <f>IF(F250&lt;&gt;"",1+MAX($A$6:A249),"")</f>
        <v>201</v>
      </c>
      <c r="B250" s="533" t="s">
        <v>1025</v>
      </c>
      <c r="C250" s="534" t="s">
        <v>1068</v>
      </c>
      <c r="D250" s="122"/>
      <c r="E250" s="555" t="s">
        <v>1105</v>
      </c>
      <c r="F250" s="552">
        <f>22/1.33*3.83*1.043*1.2</f>
        <v>79.293094736842093</v>
      </c>
      <c r="G250" s="436">
        <v>0.1</v>
      </c>
      <c r="H250" s="539">
        <f t="shared" si="88"/>
        <v>87.222404210526307</v>
      </c>
      <c r="I250" s="540" t="s">
        <v>427</v>
      </c>
      <c r="J250" s="553">
        <f t="shared" si="90"/>
        <v>0</v>
      </c>
      <c r="K250" s="554">
        <f t="shared" si="89"/>
        <v>0</v>
      </c>
      <c r="L250" s="120"/>
      <c r="M250" s="558"/>
    </row>
    <row r="251" spans="1:13" s="187" customFormat="1" x14ac:dyDescent="0.2">
      <c r="A251" s="111">
        <f>IF(F251&lt;&gt;"",1+MAX($A$6:A250),"")</f>
        <v>202</v>
      </c>
      <c r="B251" s="533" t="s">
        <v>1025</v>
      </c>
      <c r="C251" s="534" t="s">
        <v>1068</v>
      </c>
      <c r="D251" s="122"/>
      <c r="E251" s="555" t="s">
        <v>1106</v>
      </c>
      <c r="F251" s="552">
        <f>22*13</f>
        <v>286</v>
      </c>
      <c r="G251" s="436">
        <v>0.1</v>
      </c>
      <c r="H251" s="539">
        <f t="shared" si="88"/>
        <v>314.60000000000002</v>
      </c>
      <c r="I251" s="540" t="s">
        <v>18</v>
      </c>
      <c r="J251" s="553">
        <f>$J$194</f>
        <v>0</v>
      </c>
      <c r="K251" s="554">
        <f t="shared" si="89"/>
        <v>0</v>
      </c>
      <c r="L251" s="120"/>
      <c r="M251" s="558"/>
    </row>
    <row r="252" spans="1:13" s="187" customFormat="1" x14ac:dyDescent="0.2">
      <c r="A252" s="111">
        <f>IF(F252&lt;&gt;"",1+MAX($A$6:A251),"")</f>
        <v>203</v>
      </c>
      <c r="B252" s="533" t="s">
        <v>1025</v>
      </c>
      <c r="C252" s="534" t="s">
        <v>1068</v>
      </c>
      <c r="D252" s="122"/>
      <c r="E252" s="555" t="s">
        <v>1107</v>
      </c>
      <c r="F252" s="552">
        <v>22</v>
      </c>
      <c r="G252" s="436">
        <v>0.1</v>
      </c>
      <c r="H252" s="539">
        <f t="shared" si="88"/>
        <v>24.200000000000003</v>
      </c>
      <c r="I252" s="540" t="s">
        <v>15</v>
      </c>
      <c r="J252" s="553">
        <f>$J$195</f>
        <v>0</v>
      </c>
      <c r="K252" s="554">
        <f t="shared" si="89"/>
        <v>0</v>
      </c>
      <c r="L252" s="120"/>
      <c r="M252" s="558"/>
    </row>
    <row r="253" spans="1:13" s="187" customFormat="1" x14ac:dyDescent="0.2">
      <c r="A253" s="111">
        <f>IF(F253&lt;&gt;"",1+MAX($A$6:A252),"")</f>
        <v>204</v>
      </c>
      <c r="B253" s="533" t="str">
        <f>B252</f>
        <v>S2</v>
      </c>
      <c r="C253" s="534" t="str">
        <f>C252</f>
        <v>7/SD1</v>
      </c>
      <c r="D253" s="122"/>
      <c r="E253" s="555" t="s">
        <v>1108</v>
      </c>
      <c r="F253" s="552">
        <f>F252/27</f>
        <v>0.81481481481481477</v>
      </c>
      <c r="G253" s="436">
        <v>0.1</v>
      </c>
      <c r="H253" s="539">
        <f t="shared" si="88"/>
        <v>0.89629629629629637</v>
      </c>
      <c r="I253" s="540" t="s">
        <v>1028</v>
      </c>
      <c r="J253" s="553">
        <f>J$196</f>
        <v>0</v>
      </c>
      <c r="K253" s="554">
        <f t="shared" si="89"/>
        <v>0</v>
      </c>
      <c r="L253" s="120"/>
      <c r="M253" s="558"/>
    </row>
    <row r="254" spans="1:13" s="187" customFormat="1" ht="63" x14ac:dyDescent="0.2">
      <c r="A254" s="111" t="str">
        <f>IF(F254&lt;&gt;"",1+MAX($A$6:A253),"")</f>
        <v/>
      </c>
      <c r="B254" s="533"/>
      <c r="C254" s="534"/>
      <c r="D254" s="550"/>
      <c r="E254" s="551" t="s">
        <v>1122</v>
      </c>
      <c r="F254" s="552"/>
      <c r="G254" s="127"/>
      <c r="H254" s="539"/>
      <c r="I254" s="540"/>
      <c r="J254" s="553"/>
      <c r="K254" s="554"/>
      <c r="L254" s="120"/>
    </row>
    <row r="255" spans="1:13" s="187" customFormat="1" x14ac:dyDescent="0.2">
      <c r="A255" s="111">
        <f>IF(F255&lt;&gt;"",1+MAX($A$6:A254),"")</f>
        <v>205</v>
      </c>
      <c r="B255" s="533" t="s">
        <v>1025</v>
      </c>
      <c r="C255" s="534" t="s">
        <v>1051</v>
      </c>
      <c r="D255" s="122"/>
      <c r="E255" s="555" t="s">
        <v>1100</v>
      </c>
      <c r="F255" s="552">
        <f>91*0.83*12/27</f>
        <v>33.568888888888893</v>
      </c>
      <c r="G255" s="436">
        <v>0.1</v>
      </c>
      <c r="H255" s="539">
        <f t="shared" ref="H255:H263" si="91">F255*(1+G255)</f>
        <v>36.925777777777782</v>
      </c>
      <c r="I255" s="540" t="s">
        <v>1028</v>
      </c>
      <c r="J255" s="553">
        <f>$J$188</f>
        <v>0</v>
      </c>
      <c r="K255" s="554">
        <f t="shared" ref="K255:K263" si="92">J255*H255</f>
        <v>0</v>
      </c>
      <c r="L255" s="120"/>
      <c r="M255" s="558"/>
    </row>
    <row r="256" spans="1:13" s="187" customFormat="1" x14ac:dyDescent="0.2">
      <c r="A256" s="111">
        <f>IF(F256&lt;&gt;"",1+MAX($A$6:A255),"")</f>
        <v>206</v>
      </c>
      <c r="B256" s="533" t="s">
        <v>1025</v>
      </c>
      <c r="C256" s="534" t="s">
        <v>1051</v>
      </c>
      <c r="D256" s="122"/>
      <c r="E256" s="555" t="s">
        <v>1101</v>
      </c>
      <c r="F256" s="552">
        <f>(12/1.17+1)*91*0.668*1.2*2</f>
        <v>1642.2112000000004</v>
      </c>
      <c r="G256" s="436">
        <v>0.1</v>
      </c>
      <c r="H256" s="539">
        <f t="shared" si="91"/>
        <v>1806.4323200000006</v>
      </c>
      <c r="I256" s="540" t="s">
        <v>427</v>
      </c>
      <c r="J256" s="553">
        <f t="shared" ref="J256:J260" si="93">$J$15</f>
        <v>0</v>
      </c>
      <c r="K256" s="554">
        <f t="shared" si="92"/>
        <v>0</v>
      </c>
      <c r="L256" s="120"/>
      <c r="M256" s="558"/>
    </row>
    <row r="257" spans="1:13" s="187" customFormat="1" x14ac:dyDescent="0.2">
      <c r="A257" s="111">
        <f>IF(F257&lt;&gt;"",1+MAX($A$6:A256),"")</f>
        <v>207</v>
      </c>
      <c r="B257" s="533" t="s">
        <v>1025</v>
      </c>
      <c r="C257" s="534" t="s">
        <v>1051</v>
      </c>
      <c r="D257" s="122"/>
      <c r="E257" s="555" t="s">
        <v>1102</v>
      </c>
      <c r="F257" s="552">
        <f>(91/1+1)*12*1.043*1.2</f>
        <v>1381.7664</v>
      </c>
      <c r="G257" s="436">
        <v>0.1</v>
      </c>
      <c r="H257" s="539">
        <f t="shared" si="91"/>
        <v>1519.9430400000001</v>
      </c>
      <c r="I257" s="540" t="s">
        <v>427</v>
      </c>
      <c r="J257" s="553">
        <f t="shared" si="93"/>
        <v>0</v>
      </c>
      <c r="K257" s="554">
        <f t="shared" si="92"/>
        <v>0</v>
      </c>
      <c r="L257" s="120"/>
      <c r="M257" s="558"/>
    </row>
    <row r="258" spans="1:13" s="187" customFormat="1" x14ac:dyDescent="0.2">
      <c r="A258" s="111">
        <f>IF(F258&lt;&gt;"",1+MAX($A$6:A257),"")</f>
        <v>208</v>
      </c>
      <c r="B258" s="533" t="s">
        <v>1025</v>
      </c>
      <c r="C258" s="534" t="s">
        <v>1051</v>
      </c>
      <c r="D258" s="122"/>
      <c r="E258" s="555" t="s">
        <v>1103</v>
      </c>
      <c r="F258" s="552">
        <f>(91/1+1)*12*1.5*1.2</f>
        <v>1987.1999999999998</v>
      </c>
      <c r="G258" s="436">
        <v>0.1</v>
      </c>
      <c r="H258" s="539">
        <f t="shared" si="91"/>
        <v>2185.92</v>
      </c>
      <c r="I258" s="540" t="s">
        <v>427</v>
      </c>
      <c r="J258" s="553">
        <f t="shared" si="93"/>
        <v>0</v>
      </c>
      <c r="K258" s="554">
        <f t="shared" si="92"/>
        <v>0</v>
      </c>
      <c r="L258" s="120"/>
      <c r="M258" s="558"/>
    </row>
    <row r="259" spans="1:13" s="187" customFormat="1" x14ac:dyDescent="0.2">
      <c r="A259" s="111">
        <f>IF(F259&lt;&gt;"",1+MAX($A$6:A258),"")</f>
        <v>209</v>
      </c>
      <c r="B259" s="533" t="s">
        <v>1025</v>
      </c>
      <c r="C259" s="534" t="s">
        <v>1051</v>
      </c>
      <c r="D259" s="122"/>
      <c r="E259" s="555" t="s">
        <v>1104</v>
      </c>
      <c r="F259" s="552">
        <f>(91/1+1)*7.5*1.043*1.2*2</f>
        <v>1727.2079999999999</v>
      </c>
      <c r="G259" s="436">
        <v>0.1</v>
      </c>
      <c r="H259" s="539">
        <f t="shared" si="91"/>
        <v>1899.9287999999999</v>
      </c>
      <c r="I259" s="540" t="s">
        <v>427</v>
      </c>
      <c r="J259" s="553">
        <f t="shared" si="93"/>
        <v>0</v>
      </c>
      <c r="K259" s="554">
        <f t="shared" si="92"/>
        <v>0</v>
      </c>
      <c r="L259" s="120"/>
      <c r="M259" s="558"/>
    </row>
    <row r="260" spans="1:13" s="187" customFormat="1" x14ac:dyDescent="0.2">
      <c r="A260" s="111">
        <f>IF(F260&lt;&gt;"",1+MAX($A$6:A259),"")</f>
        <v>210</v>
      </c>
      <c r="B260" s="533" t="s">
        <v>1025</v>
      </c>
      <c r="C260" s="534" t="s">
        <v>1051</v>
      </c>
      <c r="D260" s="122"/>
      <c r="E260" s="555" t="s">
        <v>1105</v>
      </c>
      <c r="F260" s="552">
        <f>91/1.33*3.83*1.043*1.2</f>
        <v>327.98507368421042</v>
      </c>
      <c r="G260" s="436">
        <v>0.1</v>
      </c>
      <c r="H260" s="539">
        <f t="shared" si="91"/>
        <v>360.78358105263152</v>
      </c>
      <c r="I260" s="540" t="s">
        <v>427</v>
      </c>
      <c r="J260" s="553">
        <f t="shared" si="93"/>
        <v>0</v>
      </c>
      <c r="K260" s="554">
        <f t="shared" si="92"/>
        <v>0</v>
      </c>
      <c r="L260" s="120"/>
      <c r="M260" s="558"/>
    </row>
    <row r="261" spans="1:13" s="187" customFormat="1" x14ac:dyDescent="0.2">
      <c r="A261" s="111">
        <f>IF(F261&lt;&gt;"",1+MAX($A$6:A260),"")</f>
        <v>211</v>
      </c>
      <c r="B261" s="533" t="s">
        <v>1025</v>
      </c>
      <c r="C261" s="534" t="s">
        <v>1051</v>
      </c>
      <c r="D261" s="122"/>
      <c r="E261" s="555" t="s">
        <v>1106</v>
      </c>
      <c r="F261" s="552">
        <f>91*13</f>
        <v>1183</v>
      </c>
      <c r="G261" s="436">
        <v>0.1</v>
      </c>
      <c r="H261" s="539">
        <f t="shared" si="91"/>
        <v>1301.3000000000002</v>
      </c>
      <c r="I261" s="540" t="s">
        <v>18</v>
      </c>
      <c r="J261" s="553">
        <f>$J$194</f>
        <v>0</v>
      </c>
      <c r="K261" s="554">
        <f t="shared" si="92"/>
        <v>0</v>
      </c>
      <c r="L261" s="120"/>
      <c r="M261" s="558"/>
    </row>
    <row r="262" spans="1:13" s="187" customFormat="1" x14ac:dyDescent="0.2">
      <c r="A262" s="111">
        <f>IF(F262&lt;&gt;"",1+MAX($A$6:A261),"")</f>
        <v>212</v>
      </c>
      <c r="B262" s="533" t="s">
        <v>1025</v>
      </c>
      <c r="C262" s="534" t="s">
        <v>1051</v>
      </c>
      <c r="D262" s="122"/>
      <c r="E262" s="555" t="s">
        <v>1107</v>
      </c>
      <c r="F262" s="552">
        <v>91</v>
      </c>
      <c r="G262" s="436">
        <v>0.1</v>
      </c>
      <c r="H262" s="539">
        <f t="shared" si="91"/>
        <v>100.10000000000001</v>
      </c>
      <c r="I262" s="540" t="s">
        <v>15</v>
      </c>
      <c r="J262" s="553">
        <f>$J$195</f>
        <v>0</v>
      </c>
      <c r="K262" s="554">
        <f t="shared" si="92"/>
        <v>0</v>
      </c>
      <c r="L262" s="120"/>
      <c r="M262" s="558"/>
    </row>
    <row r="263" spans="1:13" s="187" customFormat="1" x14ac:dyDescent="0.2">
      <c r="A263" s="111">
        <f>IF(F263&lt;&gt;"",1+MAX($A$6:A262),"")</f>
        <v>213</v>
      </c>
      <c r="B263" s="533" t="str">
        <f>B262</f>
        <v>S2</v>
      </c>
      <c r="C263" s="534" t="str">
        <f>C262</f>
        <v>6A/SD1</v>
      </c>
      <c r="D263" s="122"/>
      <c r="E263" s="555" t="s">
        <v>1108</v>
      </c>
      <c r="F263" s="552">
        <f>F262/27</f>
        <v>3.3703703703703702</v>
      </c>
      <c r="G263" s="436">
        <v>0.1</v>
      </c>
      <c r="H263" s="539">
        <f t="shared" si="91"/>
        <v>3.7074074074074077</v>
      </c>
      <c r="I263" s="540" t="s">
        <v>1028</v>
      </c>
      <c r="J263" s="553">
        <f>J$196</f>
        <v>0</v>
      </c>
      <c r="K263" s="554">
        <f t="shared" si="92"/>
        <v>0</v>
      </c>
      <c r="L263" s="120"/>
      <c r="M263" s="558"/>
    </row>
    <row r="264" spans="1:13" s="187" customFormat="1" ht="63" x14ac:dyDescent="0.2">
      <c r="A264" s="111" t="str">
        <f>IF(F264&lt;&gt;"",1+MAX($A$6:A263),"")</f>
        <v/>
      </c>
      <c r="B264" s="533"/>
      <c r="C264" s="534"/>
      <c r="D264" s="550"/>
      <c r="E264" s="551" t="s">
        <v>1123</v>
      </c>
      <c r="F264" s="552"/>
      <c r="G264" s="127"/>
      <c r="H264" s="539"/>
      <c r="I264" s="540"/>
      <c r="J264" s="553"/>
      <c r="K264" s="554"/>
      <c r="L264" s="120"/>
    </row>
    <row r="265" spans="1:13" s="187" customFormat="1" x14ac:dyDescent="0.2">
      <c r="A265" s="111">
        <f>IF(F265&lt;&gt;"",1+MAX($A$6:A264),"")</f>
        <v>214</v>
      </c>
      <c r="B265" s="533" t="s">
        <v>1025</v>
      </c>
      <c r="C265" s="534" t="s">
        <v>1124</v>
      </c>
      <c r="D265" s="122"/>
      <c r="E265" s="555" t="s">
        <v>1027</v>
      </c>
      <c r="F265" s="552">
        <f>68*0.83*12/27</f>
        <v>25.084444444444443</v>
      </c>
      <c r="G265" s="436">
        <v>0.1</v>
      </c>
      <c r="H265" s="539">
        <f t="shared" ref="H265:H271" si="94">F265*(1+G265)</f>
        <v>27.59288888888889</v>
      </c>
      <c r="I265" s="540" t="s">
        <v>1028</v>
      </c>
      <c r="J265" s="553">
        <f>$J$11</f>
        <v>0</v>
      </c>
      <c r="K265" s="554">
        <f t="shared" ref="K265:K271" si="95">J265*H265</f>
        <v>0</v>
      </c>
      <c r="L265" s="120"/>
      <c r="M265" s="558"/>
    </row>
    <row r="266" spans="1:13" s="187" customFormat="1" x14ac:dyDescent="0.2">
      <c r="A266" s="111">
        <f>IF(F266&lt;&gt;"",1+MAX($A$6:A265),"")</f>
        <v>215</v>
      </c>
      <c r="B266" s="533" t="s">
        <v>1025</v>
      </c>
      <c r="C266" s="534" t="s">
        <v>1124</v>
      </c>
      <c r="D266" s="122"/>
      <c r="E266" s="555" t="s">
        <v>1111</v>
      </c>
      <c r="F266" s="552">
        <f>68*12*2</f>
        <v>1632</v>
      </c>
      <c r="G266" s="436">
        <v>0.1</v>
      </c>
      <c r="H266" s="539">
        <f t="shared" si="94"/>
        <v>1795.2</v>
      </c>
      <c r="I266" s="540" t="s">
        <v>1030</v>
      </c>
      <c r="J266" s="553">
        <f>J$209</f>
        <v>0</v>
      </c>
      <c r="K266" s="554">
        <f t="shared" si="95"/>
        <v>0</v>
      </c>
      <c r="L266" s="120"/>
      <c r="M266" s="558"/>
    </row>
    <row r="267" spans="1:13" s="187" customFormat="1" x14ac:dyDescent="0.2">
      <c r="A267" s="111">
        <f>IF(F267&lt;&gt;"",1+MAX($A$6:A266),"")</f>
        <v>216</v>
      </c>
      <c r="B267" s="533" t="s">
        <v>1025</v>
      </c>
      <c r="C267" s="534" t="s">
        <v>1124</v>
      </c>
      <c r="D267" s="122"/>
      <c r="E267" s="555" t="s">
        <v>1125</v>
      </c>
      <c r="F267" s="552">
        <f>0.668*1.2*2*68*12*1.13/1.33</f>
        <v>1111.4877112781953</v>
      </c>
      <c r="G267" s="436">
        <v>0.1</v>
      </c>
      <c r="H267" s="539">
        <f t="shared" si="94"/>
        <v>1222.6364824060149</v>
      </c>
      <c r="I267" s="540" t="s">
        <v>427</v>
      </c>
      <c r="J267" s="553">
        <f t="shared" ref="J267:J271" si="96">$J$15</f>
        <v>0</v>
      </c>
      <c r="K267" s="554">
        <f t="shared" si="95"/>
        <v>0</v>
      </c>
      <c r="L267" s="120"/>
      <c r="M267" s="558"/>
    </row>
    <row r="268" spans="1:13" s="187" customFormat="1" x14ac:dyDescent="0.2">
      <c r="A268" s="111">
        <f>IF(F268&lt;&gt;"",1+MAX($A$6:A267),"")</f>
        <v>217</v>
      </c>
      <c r="B268" s="533" t="s">
        <v>1025</v>
      </c>
      <c r="C268" s="534" t="s">
        <v>1124</v>
      </c>
      <c r="D268" s="122"/>
      <c r="E268" s="555" t="s">
        <v>1126</v>
      </c>
      <c r="F268" s="552">
        <f>68*12*1.13*1.043*1.2*2</f>
        <v>2308.1506559999993</v>
      </c>
      <c r="G268" s="436">
        <v>0.1</v>
      </c>
      <c r="H268" s="539">
        <f t="shared" si="94"/>
        <v>2538.9657215999996</v>
      </c>
      <c r="I268" s="540" t="s">
        <v>427</v>
      </c>
      <c r="J268" s="553">
        <f t="shared" si="96"/>
        <v>0</v>
      </c>
      <c r="K268" s="554">
        <f t="shared" si="95"/>
        <v>0</v>
      </c>
      <c r="L268" s="120"/>
      <c r="M268" s="558"/>
    </row>
    <row r="269" spans="1:13" s="187" customFormat="1" x14ac:dyDescent="0.2">
      <c r="A269" s="111">
        <f>IF(F269&lt;&gt;"",1+MAX($A$6:A268),"")</f>
        <v>218</v>
      </c>
      <c r="B269" s="533" t="s">
        <v>1025</v>
      </c>
      <c r="C269" s="534" t="s">
        <v>1124</v>
      </c>
      <c r="D269" s="122"/>
      <c r="E269" s="555" t="s">
        <v>1127</v>
      </c>
      <c r="F269" s="552">
        <f>68/0.83*4.5*1.043*1.2*2</f>
        <v>922.86650602409634</v>
      </c>
      <c r="G269" s="436">
        <v>0.1</v>
      </c>
      <c r="H269" s="539">
        <f t="shared" si="94"/>
        <v>1015.1531566265061</v>
      </c>
      <c r="I269" s="540" t="s">
        <v>427</v>
      </c>
      <c r="J269" s="553">
        <f t="shared" si="96"/>
        <v>0</v>
      </c>
      <c r="K269" s="554">
        <f t="shared" si="95"/>
        <v>0</v>
      </c>
      <c r="L269" s="120"/>
      <c r="M269" s="558"/>
    </row>
    <row r="270" spans="1:13" s="187" customFormat="1" x14ac:dyDescent="0.2">
      <c r="A270" s="111">
        <f>IF(F270&lt;&gt;"",1+MAX($A$6:A269),"")</f>
        <v>219</v>
      </c>
      <c r="B270" s="533" t="s">
        <v>1025</v>
      </c>
      <c r="C270" s="534" t="s">
        <v>1124</v>
      </c>
      <c r="D270" s="122"/>
      <c r="E270" s="555" t="s">
        <v>1128</v>
      </c>
      <c r="F270" s="552">
        <f>68/1.33*3*1.043*1.2*2</f>
        <v>383.94947368421043</v>
      </c>
      <c r="G270" s="436">
        <v>0.1</v>
      </c>
      <c r="H270" s="539">
        <f t="shared" si="94"/>
        <v>422.3444210526315</v>
      </c>
      <c r="I270" s="540" t="s">
        <v>427</v>
      </c>
      <c r="J270" s="553">
        <f t="shared" si="96"/>
        <v>0</v>
      </c>
      <c r="K270" s="554">
        <f t="shared" si="95"/>
        <v>0</v>
      </c>
      <c r="L270" s="120"/>
      <c r="M270" s="558"/>
    </row>
    <row r="271" spans="1:13" s="187" customFormat="1" x14ac:dyDescent="0.2">
      <c r="A271" s="111">
        <f>IF(F271&lt;&gt;"",1+MAX($A$6:A270),"")</f>
        <v>220</v>
      </c>
      <c r="B271" s="533" t="s">
        <v>1025</v>
      </c>
      <c r="C271" s="534" t="s">
        <v>1124</v>
      </c>
      <c r="D271" s="122"/>
      <c r="E271" s="555" t="s">
        <v>1129</v>
      </c>
      <c r="F271" s="552">
        <f>68/1.33*6*1.043*1.2</f>
        <v>383.94947368421043</v>
      </c>
      <c r="G271" s="436">
        <v>0.1</v>
      </c>
      <c r="H271" s="539">
        <f t="shared" si="94"/>
        <v>422.3444210526315</v>
      </c>
      <c r="I271" s="540" t="s">
        <v>427</v>
      </c>
      <c r="J271" s="553">
        <f t="shared" si="96"/>
        <v>0</v>
      </c>
      <c r="K271" s="554">
        <f t="shared" si="95"/>
        <v>0</v>
      </c>
      <c r="L271" s="120"/>
      <c r="M271" s="558"/>
    </row>
    <row r="272" spans="1:13" s="187" customFormat="1" ht="63" x14ac:dyDescent="0.2">
      <c r="A272" s="111" t="str">
        <f>IF(F272&lt;&gt;"",1+MAX($A$6:A271),"")</f>
        <v/>
      </c>
      <c r="B272" s="533"/>
      <c r="C272" s="534"/>
      <c r="D272" s="550"/>
      <c r="E272" s="551" t="s">
        <v>1130</v>
      </c>
      <c r="F272" s="552"/>
      <c r="G272" s="127"/>
      <c r="H272" s="539"/>
      <c r="I272" s="540"/>
      <c r="J272" s="553"/>
      <c r="K272" s="554"/>
      <c r="L272" s="120"/>
    </row>
    <row r="273" spans="1:13" s="187" customFormat="1" x14ac:dyDescent="0.2">
      <c r="A273" s="111">
        <f>IF(F273&lt;&gt;"",1+MAX($A$6:A272),"")</f>
        <v>221</v>
      </c>
      <c r="B273" s="533" t="s">
        <v>1025</v>
      </c>
      <c r="C273" s="534" t="s">
        <v>1026</v>
      </c>
      <c r="D273" s="122"/>
      <c r="E273" s="555" t="s">
        <v>1027</v>
      </c>
      <c r="F273" s="552">
        <f>178*0.67*12/27</f>
        <v>53.004444444444452</v>
      </c>
      <c r="G273" s="436">
        <v>0.1</v>
      </c>
      <c r="H273" s="539">
        <f t="shared" ref="H273:H279" si="97">F273*(1+G273)</f>
        <v>58.304888888888904</v>
      </c>
      <c r="I273" s="540" t="s">
        <v>1028</v>
      </c>
      <c r="J273" s="553">
        <f>$J$11</f>
        <v>0</v>
      </c>
      <c r="K273" s="554">
        <f t="shared" ref="K273:K279" si="98">J273*H273</f>
        <v>0</v>
      </c>
      <c r="L273" s="120"/>
      <c r="M273" s="558"/>
    </row>
    <row r="274" spans="1:13" s="187" customFormat="1" x14ac:dyDescent="0.2">
      <c r="A274" s="111">
        <f>IF(F274&lt;&gt;"",1+MAX($A$6:A273),"")</f>
        <v>222</v>
      </c>
      <c r="B274" s="533" t="s">
        <v>1025</v>
      </c>
      <c r="C274" s="534" t="s">
        <v>1026</v>
      </c>
      <c r="D274" s="122"/>
      <c r="E274" s="555" t="s">
        <v>1111</v>
      </c>
      <c r="F274" s="552">
        <f>178*12*2</f>
        <v>4272</v>
      </c>
      <c r="G274" s="436">
        <v>0.1</v>
      </c>
      <c r="H274" s="539">
        <f t="shared" si="97"/>
        <v>4699.2000000000007</v>
      </c>
      <c r="I274" s="540" t="s">
        <v>1030</v>
      </c>
      <c r="J274" s="553">
        <f>J$209</f>
        <v>0</v>
      </c>
      <c r="K274" s="554">
        <f t="shared" si="98"/>
        <v>0</v>
      </c>
      <c r="L274" s="120"/>
      <c r="M274" s="558"/>
    </row>
    <row r="275" spans="1:13" s="187" customFormat="1" x14ac:dyDescent="0.2">
      <c r="A275" s="111">
        <f>IF(F275&lt;&gt;"",1+MAX($A$6:A274),"")</f>
        <v>223</v>
      </c>
      <c r="B275" s="533" t="s">
        <v>1025</v>
      </c>
      <c r="C275" s="534" t="s">
        <v>1026</v>
      </c>
      <c r="D275" s="122"/>
      <c r="E275" s="555" t="s">
        <v>1131</v>
      </c>
      <c r="F275" s="552">
        <f>(12/0.83+1)*178*0.668*1.2*2</f>
        <v>4411.1951421686754</v>
      </c>
      <c r="G275" s="436">
        <v>0.1</v>
      </c>
      <c r="H275" s="539">
        <f t="shared" si="97"/>
        <v>4852.3146563855435</v>
      </c>
      <c r="I275" s="540" t="s">
        <v>427</v>
      </c>
      <c r="J275" s="553">
        <f t="shared" ref="J275:J279" si="99">$J$15</f>
        <v>0</v>
      </c>
      <c r="K275" s="554">
        <f t="shared" si="98"/>
        <v>0</v>
      </c>
      <c r="L275" s="120"/>
      <c r="M275" s="558"/>
    </row>
    <row r="276" spans="1:13" s="187" customFormat="1" x14ac:dyDescent="0.2">
      <c r="A276" s="111">
        <f>IF(F276&lt;&gt;"",1+MAX($A$6:A275),"")</f>
        <v>224</v>
      </c>
      <c r="B276" s="533" t="s">
        <v>1025</v>
      </c>
      <c r="C276" s="534" t="s">
        <v>1026</v>
      </c>
      <c r="D276" s="122"/>
      <c r="E276" s="555" t="s">
        <v>1132</v>
      </c>
      <c r="F276" s="552">
        <f>(178/1.17+1)*12*1.043*1.2*2</f>
        <v>4599.9830153846151</v>
      </c>
      <c r="G276" s="436">
        <v>0.1</v>
      </c>
      <c r="H276" s="539">
        <f t="shared" si="97"/>
        <v>5059.9813169230774</v>
      </c>
      <c r="I276" s="540" t="s">
        <v>427</v>
      </c>
      <c r="J276" s="553">
        <f t="shared" si="99"/>
        <v>0</v>
      </c>
      <c r="K276" s="554">
        <f t="shared" si="98"/>
        <v>0</v>
      </c>
      <c r="L276" s="120"/>
      <c r="M276" s="558"/>
    </row>
    <row r="277" spans="1:13" s="187" customFormat="1" x14ac:dyDescent="0.2">
      <c r="A277" s="111">
        <f>IF(F277&lt;&gt;"",1+MAX($A$6:A276),"")</f>
        <v>225</v>
      </c>
      <c r="B277" s="533" t="s">
        <v>1025</v>
      </c>
      <c r="C277" s="534" t="s">
        <v>1026</v>
      </c>
      <c r="D277" s="122"/>
      <c r="E277" s="555" t="s">
        <v>1133</v>
      </c>
      <c r="F277" s="552">
        <f>2*12*1.043*1.2*2</f>
        <v>60.076799999999992</v>
      </c>
      <c r="G277" s="436">
        <v>0.1</v>
      </c>
      <c r="H277" s="539">
        <f t="shared" si="97"/>
        <v>66.084479999999999</v>
      </c>
      <c r="I277" s="540" t="s">
        <v>427</v>
      </c>
      <c r="J277" s="553">
        <f t="shared" si="99"/>
        <v>0</v>
      </c>
      <c r="K277" s="554">
        <f t="shared" si="98"/>
        <v>0</v>
      </c>
      <c r="L277" s="120"/>
      <c r="M277" s="558"/>
    </row>
    <row r="278" spans="1:13" s="187" customFormat="1" x14ac:dyDescent="0.2">
      <c r="A278" s="111">
        <f>IF(F278&lt;&gt;"",1+MAX($A$6:A277),"")</f>
        <v>226</v>
      </c>
      <c r="B278" s="533" t="s">
        <v>1025</v>
      </c>
      <c r="C278" s="534" t="s">
        <v>1026</v>
      </c>
      <c r="D278" s="122"/>
      <c r="E278" s="555" t="s">
        <v>1104</v>
      </c>
      <c r="F278" s="552">
        <f>(178/1+1)*7.5*1.043*1.2*2</f>
        <v>3360.5459999999998</v>
      </c>
      <c r="G278" s="436">
        <v>0.1</v>
      </c>
      <c r="H278" s="539">
        <f t="shared" si="97"/>
        <v>3696.6006000000002</v>
      </c>
      <c r="I278" s="540" t="s">
        <v>427</v>
      </c>
      <c r="J278" s="553">
        <f t="shared" si="99"/>
        <v>0</v>
      </c>
      <c r="K278" s="554">
        <f t="shared" si="98"/>
        <v>0</v>
      </c>
      <c r="L278" s="120"/>
      <c r="M278" s="558"/>
    </row>
    <row r="279" spans="1:13" s="187" customFormat="1" x14ac:dyDescent="0.2">
      <c r="A279" s="111">
        <f>IF(F279&lt;&gt;"",1+MAX($A$6:A278),"")</f>
        <v>227</v>
      </c>
      <c r="B279" s="533" t="s">
        <v>1025</v>
      </c>
      <c r="C279" s="534" t="s">
        <v>1026</v>
      </c>
      <c r="D279" s="122"/>
      <c r="E279" s="555" t="s">
        <v>1105</v>
      </c>
      <c r="F279" s="552">
        <f>178/1.33*3.83*1.043*1.2</f>
        <v>641.55322105263144</v>
      </c>
      <c r="G279" s="436">
        <v>0.1</v>
      </c>
      <c r="H279" s="539">
        <f t="shared" si="97"/>
        <v>705.70854315789461</v>
      </c>
      <c r="I279" s="540" t="s">
        <v>427</v>
      </c>
      <c r="J279" s="553">
        <f t="shared" si="99"/>
        <v>0</v>
      </c>
      <c r="K279" s="554">
        <f t="shared" si="98"/>
        <v>0</v>
      </c>
      <c r="L279" s="120"/>
      <c r="M279" s="558"/>
    </row>
    <row r="280" spans="1:13" s="187" customFormat="1" ht="63" x14ac:dyDescent="0.2">
      <c r="A280" s="111" t="str">
        <f>IF(F280&lt;&gt;"",1+MAX($A$6:A279),"")</f>
        <v/>
      </c>
      <c r="B280" s="533"/>
      <c r="C280" s="534"/>
      <c r="D280" s="550"/>
      <c r="E280" s="551" t="s">
        <v>1134</v>
      </c>
      <c r="F280" s="552"/>
      <c r="G280" s="127"/>
      <c r="H280" s="539"/>
      <c r="I280" s="540"/>
      <c r="J280" s="553"/>
      <c r="K280" s="554"/>
      <c r="L280" s="120"/>
    </row>
    <row r="281" spans="1:13" s="187" customFormat="1" x14ac:dyDescent="0.2">
      <c r="A281" s="111">
        <f>IF(F281&lt;&gt;"",1+MAX($A$6:A280),"")</f>
        <v>228</v>
      </c>
      <c r="B281" s="533" t="s">
        <v>1025</v>
      </c>
      <c r="C281" s="534" t="s">
        <v>1026</v>
      </c>
      <c r="D281" s="122"/>
      <c r="E281" s="555" t="s">
        <v>1027</v>
      </c>
      <c r="F281" s="552">
        <f>104*1*12/27</f>
        <v>46.222222222222221</v>
      </c>
      <c r="G281" s="436">
        <v>0.1</v>
      </c>
      <c r="H281" s="539">
        <f t="shared" ref="H281:H288" si="100">F281*(1+G281)</f>
        <v>50.844444444444449</v>
      </c>
      <c r="I281" s="540" t="s">
        <v>1028</v>
      </c>
      <c r="J281" s="553">
        <f>$J$11</f>
        <v>0</v>
      </c>
      <c r="K281" s="554">
        <f t="shared" ref="K281:K288" si="101">J281*H281</f>
        <v>0</v>
      </c>
      <c r="L281" s="120"/>
      <c r="M281" s="558"/>
    </row>
    <row r="282" spans="1:13" s="187" customFormat="1" x14ac:dyDescent="0.2">
      <c r="A282" s="111">
        <f>IF(F282&lt;&gt;"",1+MAX($A$6:A281),"")</f>
        <v>229</v>
      </c>
      <c r="B282" s="533" t="s">
        <v>1025</v>
      </c>
      <c r="C282" s="534" t="s">
        <v>1026</v>
      </c>
      <c r="D282" s="122"/>
      <c r="E282" s="555" t="s">
        <v>1111</v>
      </c>
      <c r="F282" s="552">
        <f>104*12*2</f>
        <v>2496</v>
      </c>
      <c r="G282" s="436">
        <v>0.1</v>
      </c>
      <c r="H282" s="539">
        <f t="shared" si="100"/>
        <v>2745.6000000000004</v>
      </c>
      <c r="I282" s="540" t="s">
        <v>1030</v>
      </c>
      <c r="J282" s="553">
        <f>J$209</f>
        <v>0</v>
      </c>
      <c r="K282" s="554">
        <f t="shared" si="101"/>
        <v>0</v>
      </c>
      <c r="L282" s="120"/>
      <c r="M282" s="558"/>
    </row>
    <row r="283" spans="1:13" s="187" customFormat="1" x14ac:dyDescent="0.2">
      <c r="A283" s="111">
        <f>IF(F283&lt;&gt;"",1+MAX($A$6:A282),"")</f>
        <v>230</v>
      </c>
      <c r="B283" s="533" t="s">
        <v>1025</v>
      </c>
      <c r="C283" s="534" t="s">
        <v>1026</v>
      </c>
      <c r="D283" s="122"/>
      <c r="E283" s="555" t="s">
        <v>1135</v>
      </c>
      <c r="F283" s="552">
        <f>1.043*1.2*2*1.13*104*12/1.17</f>
        <v>3017.1903999999995</v>
      </c>
      <c r="G283" s="436">
        <v>0.1</v>
      </c>
      <c r="H283" s="539">
        <f t="shared" si="100"/>
        <v>3318.9094399999999</v>
      </c>
      <c r="I283" s="540" t="s">
        <v>427</v>
      </c>
      <c r="J283" s="553">
        <f t="shared" ref="J283:J288" si="102">$J$15</f>
        <v>0</v>
      </c>
      <c r="K283" s="554">
        <f t="shared" si="101"/>
        <v>0</v>
      </c>
      <c r="L283" s="120"/>
      <c r="M283" s="558"/>
    </row>
    <row r="284" spans="1:13" s="187" customFormat="1" x14ac:dyDescent="0.2">
      <c r="A284" s="111">
        <f>IF(F284&lt;&gt;"",1+MAX($A$6:A283),"")</f>
        <v>231</v>
      </c>
      <c r="B284" s="533" t="s">
        <v>1025</v>
      </c>
      <c r="C284" s="534" t="s">
        <v>1026</v>
      </c>
      <c r="D284" s="122"/>
      <c r="E284" s="555" t="s">
        <v>1126</v>
      </c>
      <c r="F284" s="552">
        <f>1.043*1.2*2*1.13*104*12</f>
        <v>3530.1127679999991</v>
      </c>
      <c r="G284" s="436">
        <v>0.1</v>
      </c>
      <c r="H284" s="539">
        <f t="shared" si="100"/>
        <v>3883.1240447999994</v>
      </c>
      <c r="I284" s="540" t="s">
        <v>427</v>
      </c>
      <c r="J284" s="553">
        <f t="shared" si="102"/>
        <v>0</v>
      </c>
      <c r="K284" s="554">
        <f t="shared" si="101"/>
        <v>0</v>
      </c>
      <c r="L284" s="120"/>
      <c r="M284" s="558"/>
    </row>
    <row r="285" spans="1:13" s="187" customFormat="1" x14ac:dyDescent="0.2">
      <c r="A285" s="111">
        <f>IF(F285&lt;&gt;"",1+MAX($A$6:A284),"")</f>
        <v>232</v>
      </c>
      <c r="B285" s="533" t="s">
        <v>1025</v>
      </c>
      <c r="C285" s="534" t="s">
        <v>1026</v>
      </c>
      <c r="D285" s="122"/>
      <c r="E285" s="555" t="s">
        <v>1136</v>
      </c>
      <c r="F285" s="552">
        <f>4*12*1.5*1.2*2</f>
        <v>172.79999999999998</v>
      </c>
      <c r="G285" s="436">
        <v>0.1</v>
      </c>
      <c r="H285" s="539">
        <f t="shared" si="100"/>
        <v>190.07999999999998</v>
      </c>
      <c r="I285" s="540" t="s">
        <v>427</v>
      </c>
      <c r="J285" s="553">
        <f t="shared" si="102"/>
        <v>0</v>
      </c>
      <c r="K285" s="554">
        <f t="shared" si="101"/>
        <v>0</v>
      </c>
      <c r="L285" s="120"/>
      <c r="M285" s="558"/>
    </row>
    <row r="286" spans="1:13" s="187" customFormat="1" x14ac:dyDescent="0.2">
      <c r="A286" s="111">
        <f>IF(F286&lt;&gt;"",1+MAX($A$6:A285),"")</f>
        <v>233</v>
      </c>
      <c r="B286" s="533" t="s">
        <v>1025</v>
      </c>
      <c r="C286" s="534" t="s">
        <v>1026</v>
      </c>
      <c r="D286" s="122"/>
      <c r="E286" s="555" t="s">
        <v>1104</v>
      </c>
      <c r="F286" s="552">
        <f>(104/1+1)*7.5*1.043*1.2*2</f>
        <v>1971.2699999999998</v>
      </c>
      <c r="G286" s="436">
        <v>0.1</v>
      </c>
      <c r="H286" s="539">
        <f t="shared" si="100"/>
        <v>2168.3969999999999</v>
      </c>
      <c r="I286" s="540" t="s">
        <v>427</v>
      </c>
      <c r="J286" s="553">
        <f t="shared" si="102"/>
        <v>0</v>
      </c>
      <c r="K286" s="554">
        <f t="shared" si="101"/>
        <v>0</v>
      </c>
      <c r="L286" s="120"/>
      <c r="M286" s="558"/>
    </row>
    <row r="287" spans="1:13" s="187" customFormat="1" x14ac:dyDescent="0.2">
      <c r="A287" s="111">
        <f>IF(F287&lt;&gt;"",1+MAX($A$6:A286),"")</f>
        <v>234</v>
      </c>
      <c r="B287" s="533" t="s">
        <v>1025</v>
      </c>
      <c r="C287" s="534" t="s">
        <v>1026</v>
      </c>
      <c r="D287" s="122"/>
      <c r="E287" s="555" t="s">
        <v>1105</v>
      </c>
      <c r="F287" s="552">
        <f>104/1.33*3.83*1.043*1.2</f>
        <v>374.8400842105263</v>
      </c>
      <c r="G287" s="436">
        <v>0.1</v>
      </c>
      <c r="H287" s="539">
        <f t="shared" si="100"/>
        <v>412.32409263157894</v>
      </c>
      <c r="I287" s="540" t="s">
        <v>427</v>
      </c>
      <c r="J287" s="553">
        <f t="shared" si="102"/>
        <v>0</v>
      </c>
      <c r="K287" s="554">
        <f t="shared" si="101"/>
        <v>0</v>
      </c>
      <c r="L287" s="120"/>
      <c r="M287" s="558"/>
    </row>
    <row r="288" spans="1:13" s="187" customFormat="1" x14ac:dyDescent="0.2">
      <c r="A288" s="111">
        <f>IF(F288&lt;&gt;"",1+MAX($A$6:A287),"")</f>
        <v>235</v>
      </c>
      <c r="B288" s="533" t="s">
        <v>1025</v>
      </c>
      <c r="C288" s="534" t="s">
        <v>1026</v>
      </c>
      <c r="D288" s="122"/>
      <c r="E288" s="555" t="s">
        <v>1137</v>
      </c>
      <c r="F288" s="552">
        <f>12/0.25*1.5*0.376*1.2*2</f>
        <v>64.972799999999992</v>
      </c>
      <c r="G288" s="436">
        <v>0.1</v>
      </c>
      <c r="H288" s="539">
        <f t="shared" si="100"/>
        <v>71.470079999999996</v>
      </c>
      <c r="I288" s="540" t="s">
        <v>427</v>
      </c>
      <c r="J288" s="553">
        <f t="shared" si="102"/>
        <v>0</v>
      </c>
      <c r="K288" s="554">
        <f t="shared" si="101"/>
        <v>0</v>
      </c>
      <c r="L288" s="120"/>
      <c r="M288" s="558"/>
    </row>
    <row r="289" spans="1:13" s="187" customFormat="1" ht="63" x14ac:dyDescent="0.2">
      <c r="A289" s="111" t="str">
        <f>IF(F289&lt;&gt;"",1+MAX($A$6:A288),"")</f>
        <v/>
      </c>
      <c r="B289" s="533"/>
      <c r="C289" s="534"/>
      <c r="D289" s="550"/>
      <c r="E289" s="551" t="s">
        <v>1138</v>
      </c>
      <c r="F289" s="552"/>
      <c r="G289" s="127"/>
      <c r="H289" s="539"/>
      <c r="I289" s="540"/>
      <c r="J289" s="553"/>
      <c r="K289" s="554"/>
      <c r="L289" s="120"/>
    </row>
    <row r="290" spans="1:13" s="187" customFormat="1" x14ac:dyDescent="0.2">
      <c r="A290" s="111">
        <f>IF(F290&lt;&gt;"",1+MAX($A$6:A289),"")</f>
        <v>236</v>
      </c>
      <c r="B290" s="533" t="s">
        <v>1025</v>
      </c>
      <c r="C290" s="534" t="s">
        <v>1026</v>
      </c>
      <c r="D290" s="122"/>
      <c r="E290" s="555" t="s">
        <v>1027</v>
      </c>
      <c r="F290" s="552">
        <f>59*0.67*12/27</f>
        <v>17.568888888888889</v>
      </c>
      <c r="G290" s="436">
        <v>0.1</v>
      </c>
      <c r="H290" s="539">
        <f t="shared" ref="H290:H296" si="103">F290*(1+G290)</f>
        <v>19.32577777777778</v>
      </c>
      <c r="I290" s="540" t="s">
        <v>1028</v>
      </c>
      <c r="J290" s="553">
        <f>$J$11</f>
        <v>0</v>
      </c>
      <c r="K290" s="554">
        <f t="shared" ref="K290:K296" si="104">J290*H290</f>
        <v>0</v>
      </c>
      <c r="L290" s="120"/>
      <c r="M290" s="558"/>
    </row>
    <row r="291" spans="1:13" s="187" customFormat="1" x14ac:dyDescent="0.2">
      <c r="A291" s="111">
        <f>IF(F291&lt;&gt;"",1+MAX($A$6:A290),"")</f>
        <v>237</v>
      </c>
      <c r="B291" s="533" t="s">
        <v>1025</v>
      </c>
      <c r="C291" s="534" t="s">
        <v>1026</v>
      </c>
      <c r="D291" s="122"/>
      <c r="E291" s="555" t="s">
        <v>1111</v>
      </c>
      <c r="F291" s="552">
        <f>59*12*2</f>
        <v>1416</v>
      </c>
      <c r="G291" s="436">
        <v>0.1</v>
      </c>
      <c r="H291" s="539">
        <f t="shared" si="103"/>
        <v>1557.6000000000001</v>
      </c>
      <c r="I291" s="540" t="s">
        <v>1030</v>
      </c>
      <c r="J291" s="553">
        <f>J$209</f>
        <v>0</v>
      </c>
      <c r="K291" s="554">
        <f t="shared" si="104"/>
        <v>0</v>
      </c>
      <c r="L291" s="120"/>
      <c r="M291" s="558"/>
    </row>
    <row r="292" spans="1:13" s="187" customFormat="1" x14ac:dyDescent="0.2">
      <c r="A292" s="111">
        <f>IF(F292&lt;&gt;"",1+MAX($A$6:A291),"")</f>
        <v>238</v>
      </c>
      <c r="B292" s="533" t="s">
        <v>1025</v>
      </c>
      <c r="C292" s="534" t="s">
        <v>1026</v>
      </c>
      <c r="D292" s="122"/>
      <c r="E292" s="555" t="s">
        <v>1131</v>
      </c>
      <c r="F292" s="552">
        <f>(12/0.83+1)*59*0.668*1.2*2</f>
        <v>1462.1377156626506</v>
      </c>
      <c r="G292" s="436">
        <v>0.1</v>
      </c>
      <c r="H292" s="539">
        <f t="shared" si="103"/>
        <v>1608.3514872289159</v>
      </c>
      <c r="I292" s="540" t="s">
        <v>427</v>
      </c>
      <c r="J292" s="553">
        <f t="shared" ref="J292:J296" si="105">$J$15</f>
        <v>0</v>
      </c>
      <c r="K292" s="554">
        <f t="shared" si="104"/>
        <v>0</v>
      </c>
      <c r="L292" s="120"/>
      <c r="M292" s="558"/>
    </row>
    <row r="293" spans="1:13" s="187" customFormat="1" x14ac:dyDescent="0.2">
      <c r="A293" s="111">
        <f>IF(F293&lt;&gt;"",1+MAX($A$6:A292),"")</f>
        <v>239</v>
      </c>
      <c r="B293" s="533" t="s">
        <v>1025</v>
      </c>
      <c r="C293" s="534" t="s">
        <v>1026</v>
      </c>
      <c r="D293" s="122"/>
      <c r="E293" s="555" t="s">
        <v>1132</v>
      </c>
      <c r="F293" s="552">
        <f>(59/1.17+1)*12*1.043*1.2*2</f>
        <v>1544.7953230769233</v>
      </c>
      <c r="G293" s="436">
        <v>0.1</v>
      </c>
      <c r="H293" s="539">
        <f t="shared" si="103"/>
        <v>1699.2748553846159</v>
      </c>
      <c r="I293" s="540" t="s">
        <v>427</v>
      </c>
      <c r="J293" s="553">
        <f t="shared" si="105"/>
        <v>0</v>
      </c>
      <c r="K293" s="554">
        <f t="shared" si="104"/>
        <v>0</v>
      </c>
      <c r="L293" s="120"/>
      <c r="M293" s="558"/>
    </row>
    <row r="294" spans="1:13" s="187" customFormat="1" x14ac:dyDescent="0.2">
      <c r="A294" s="111">
        <f>IF(F294&lt;&gt;"",1+MAX($A$6:A293),"")</f>
        <v>240</v>
      </c>
      <c r="B294" s="533" t="s">
        <v>1025</v>
      </c>
      <c r="C294" s="534" t="s">
        <v>1026</v>
      </c>
      <c r="D294" s="122"/>
      <c r="E294" s="555" t="s">
        <v>1133</v>
      </c>
      <c r="F294" s="552">
        <f>2*12*1.043*1.2*2</f>
        <v>60.076799999999992</v>
      </c>
      <c r="G294" s="436">
        <v>0.1</v>
      </c>
      <c r="H294" s="539">
        <f t="shared" si="103"/>
        <v>66.084479999999999</v>
      </c>
      <c r="I294" s="540" t="s">
        <v>427</v>
      </c>
      <c r="J294" s="553">
        <f t="shared" si="105"/>
        <v>0</v>
      </c>
      <c r="K294" s="554">
        <f t="shared" si="104"/>
        <v>0</v>
      </c>
      <c r="L294" s="120"/>
      <c r="M294" s="558"/>
    </row>
    <row r="295" spans="1:13" s="187" customFormat="1" x14ac:dyDescent="0.2">
      <c r="A295" s="111">
        <f>IF(F295&lt;&gt;"",1+MAX($A$6:A294),"")</f>
        <v>241</v>
      </c>
      <c r="B295" s="533" t="s">
        <v>1025</v>
      </c>
      <c r="C295" s="534" t="s">
        <v>1026</v>
      </c>
      <c r="D295" s="122"/>
      <c r="E295" s="555" t="s">
        <v>1104</v>
      </c>
      <c r="F295" s="552">
        <f>(59/1+1)*7.5*1.043*1.2*2</f>
        <v>1126.4399999999998</v>
      </c>
      <c r="G295" s="436">
        <v>0.1</v>
      </c>
      <c r="H295" s="539">
        <f t="shared" si="103"/>
        <v>1239.0839999999998</v>
      </c>
      <c r="I295" s="540" t="s">
        <v>427</v>
      </c>
      <c r="J295" s="553">
        <f t="shared" si="105"/>
        <v>0</v>
      </c>
      <c r="K295" s="554">
        <f t="shared" si="104"/>
        <v>0</v>
      </c>
      <c r="L295" s="120"/>
      <c r="M295" s="558"/>
    </row>
    <row r="296" spans="1:13" s="187" customFormat="1" x14ac:dyDescent="0.2">
      <c r="A296" s="111">
        <f>IF(F296&lt;&gt;"",1+MAX($A$6:A295),"")</f>
        <v>242</v>
      </c>
      <c r="B296" s="533" t="s">
        <v>1025</v>
      </c>
      <c r="C296" s="534" t="s">
        <v>1026</v>
      </c>
      <c r="D296" s="122"/>
      <c r="E296" s="555" t="s">
        <v>1105</v>
      </c>
      <c r="F296" s="552">
        <f>59/1.33*3.83*1.043*1.2</f>
        <v>212.64966315789471</v>
      </c>
      <c r="G296" s="436">
        <v>0.1</v>
      </c>
      <c r="H296" s="539">
        <f t="shared" si="103"/>
        <v>233.91462947368419</v>
      </c>
      <c r="I296" s="540" t="s">
        <v>427</v>
      </c>
      <c r="J296" s="553">
        <f t="shared" si="105"/>
        <v>0</v>
      </c>
      <c r="K296" s="554">
        <f t="shared" si="104"/>
        <v>0</v>
      </c>
      <c r="L296" s="120"/>
      <c r="M296" s="558"/>
    </row>
    <row r="297" spans="1:13" s="187" customFormat="1" x14ac:dyDescent="0.2">
      <c r="A297" s="111" t="str">
        <f>IF(F297&lt;&gt;"",1+MAX($A$6:A296),"")</f>
        <v/>
      </c>
      <c r="B297" s="533"/>
      <c r="C297" s="534"/>
      <c r="D297" s="122"/>
      <c r="E297" s="563" t="s">
        <v>1139</v>
      </c>
      <c r="F297" s="552"/>
      <c r="G297" s="436"/>
      <c r="H297" s="539"/>
      <c r="I297" s="540"/>
      <c r="J297" s="553"/>
      <c r="K297" s="554"/>
      <c r="L297" s="120"/>
      <c r="M297" s="558"/>
    </row>
    <row r="298" spans="1:13" s="187" customFormat="1" x14ac:dyDescent="0.2">
      <c r="A298" s="111">
        <f>IF(F298&lt;&gt;"",1+MAX($A$6:A297),"")</f>
        <v>243</v>
      </c>
      <c r="B298" s="533" t="s">
        <v>1025</v>
      </c>
      <c r="C298" s="534" t="s">
        <v>1140</v>
      </c>
      <c r="D298" s="122"/>
      <c r="E298" s="555" t="s">
        <v>1141</v>
      </c>
      <c r="F298" s="552">
        <v>838</v>
      </c>
      <c r="G298" s="436">
        <v>0.1</v>
      </c>
      <c r="H298" s="539">
        <f t="shared" si="20"/>
        <v>921.80000000000007</v>
      </c>
      <c r="I298" s="540" t="s">
        <v>427</v>
      </c>
      <c r="J298" s="553">
        <f>$J$15</f>
        <v>0</v>
      </c>
      <c r="K298" s="554">
        <f t="shared" si="21"/>
        <v>0</v>
      </c>
      <c r="L298" s="120"/>
      <c r="M298" s="558"/>
    </row>
    <row r="299" spans="1:13" s="187" customFormat="1" ht="16.5" thickBot="1" x14ac:dyDescent="0.25">
      <c r="A299" s="111" t="str">
        <f>IF(F299&lt;&gt;"",1+MAX($A$6:A298),"")</f>
        <v/>
      </c>
      <c r="B299" s="533"/>
      <c r="C299" s="534"/>
      <c r="D299" s="122"/>
      <c r="E299" s="559"/>
      <c r="F299" s="560"/>
      <c r="G299" s="436"/>
      <c r="H299" s="539"/>
      <c r="I299" s="540"/>
      <c r="J299" s="553"/>
      <c r="K299" s="554"/>
      <c r="L299" s="120"/>
      <c r="M299" s="558"/>
    </row>
    <row r="300" spans="1:13" s="187" customFormat="1" ht="16.5" thickBot="1" x14ac:dyDescent="0.25">
      <c r="A300" s="111" t="str">
        <f>IF(F300&lt;&gt;"",1+MAX($A$6:A299),"")</f>
        <v/>
      </c>
      <c r="B300" s="533"/>
      <c r="C300" s="542"/>
      <c r="D300" s="543"/>
      <c r="E300" s="561" t="s">
        <v>1142</v>
      </c>
      <c r="F300" s="537"/>
      <c r="G300" s="546"/>
      <c r="H300" s="547"/>
      <c r="I300" s="548"/>
      <c r="J300" s="226"/>
      <c r="K300" s="549"/>
      <c r="L300" s="120"/>
    </row>
    <row r="301" spans="1:13" s="187" customFormat="1" ht="78.75" x14ac:dyDescent="0.2">
      <c r="A301" s="111" t="str">
        <f>IF(F301&lt;&gt;"",1+MAX($A$6:A300),"")</f>
        <v/>
      </c>
      <c r="B301" s="533"/>
      <c r="C301" s="534"/>
      <c r="D301" s="550"/>
      <c r="E301" s="551" t="s">
        <v>1143</v>
      </c>
      <c r="F301" s="552"/>
      <c r="G301" s="127"/>
      <c r="H301" s="539"/>
      <c r="I301" s="540"/>
      <c r="J301" s="553"/>
      <c r="K301" s="554"/>
      <c r="L301" s="120"/>
    </row>
    <row r="302" spans="1:13" s="187" customFormat="1" x14ac:dyDescent="0.2">
      <c r="A302" s="111">
        <f>IF(F302&lt;&gt;"",1+MAX($A$6:A301),"")</f>
        <v>244</v>
      </c>
      <c r="B302" s="533" t="s">
        <v>1025</v>
      </c>
      <c r="C302" s="534" t="s">
        <v>1026</v>
      </c>
      <c r="D302" s="122"/>
      <c r="E302" s="555" t="s">
        <v>1027</v>
      </c>
      <c r="F302" s="552">
        <f>3*1.5*12*2/27</f>
        <v>4</v>
      </c>
      <c r="G302" s="436">
        <v>0.1</v>
      </c>
      <c r="H302" s="539">
        <f t="shared" ref="H302:H305" si="106">F302*(1+G302)</f>
        <v>4.4000000000000004</v>
      </c>
      <c r="I302" s="540" t="s">
        <v>1028</v>
      </c>
      <c r="J302" s="553">
        <f>$J$11</f>
        <v>0</v>
      </c>
      <c r="K302" s="554">
        <f t="shared" ref="K302:K305" si="107">J302*H302</f>
        <v>0</v>
      </c>
      <c r="L302" s="120"/>
      <c r="M302" s="558"/>
    </row>
    <row r="303" spans="1:13" s="187" customFormat="1" x14ac:dyDescent="0.2">
      <c r="A303" s="111">
        <f>IF(F303&lt;&gt;"",1+MAX($A$6:A302),"")</f>
        <v>245</v>
      </c>
      <c r="B303" s="533" t="s">
        <v>1025</v>
      </c>
      <c r="C303" s="534" t="s">
        <v>1026</v>
      </c>
      <c r="D303" s="122"/>
      <c r="E303" s="555" t="s">
        <v>1144</v>
      </c>
      <c r="F303" s="552">
        <f>2*9.5*12*2</f>
        <v>456</v>
      </c>
      <c r="G303" s="436">
        <v>0.1</v>
      </c>
      <c r="H303" s="539">
        <f t="shared" si="106"/>
        <v>501.6</v>
      </c>
      <c r="I303" s="540" t="s">
        <v>1030</v>
      </c>
      <c r="J303" s="556">
        <v>0</v>
      </c>
      <c r="K303" s="554">
        <f t="shared" si="107"/>
        <v>0</v>
      </c>
      <c r="L303" s="120"/>
      <c r="M303" s="558"/>
    </row>
    <row r="304" spans="1:13" s="187" customFormat="1" x14ac:dyDescent="0.2">
      <c r="A304" s="111">
        <f>IF(F304&lt;&gt;"",1+MAX($A$6:A303),"")</f>
        <v>246</v>
      </c>
      <c r="B304" s="533" t="s">
        <v>1025</v>
      </c>
      <c r="C304" s="534" t="s">
        <v>1026</v>
      </c>
      <c r="D304" s="122"/>
      <c r="E304" s="555" t="s">
        <v>1145</v>
      </c>
      <c r="F304" s="552">
        <f>8*15*3.4*1.2*2</f>
        <v>979.19999999999993</v>
      </c>
      <c r="G304" s="436">
        <v>0.1</v>
      </c>
      <c r="H304" s="539">
        <f t="shared" si="106"/>
        <v>1077.1200000000001</v>
      </c>
      <c r="I304" s="540" t="s">
        <v>427</v>
      </c>
      <c r="J304" s="553">
        <f t="shared" ref="J304:J305" si="108">$J$15</f>
        <v>0</v>
      </c>
      <c r="K304" s="554">
        <f t="shared" si="107"/>
        <v>0</v>
      </c>
      <c r="L304" s="120"/>
      <c r="M304" s="558"/>
    </row>
    <row r="305" spans="1:13" s="187" customFormat="1" x14ac:dyDescent="0.2">
      <c r="A305" s="111">
        <f>IF(F305&lt;&gt;"",1+MAX($A$6:A304),"")</f>
        <v>247</v>
      </c>
      <c r="B305" s="533" t="s">
        <v>1025</v>
      </c>
      <c r="C305" s="534" t="s">
        <v>1026</v>
      </c>
      <c r="D305" s="122"/>
      <c r="E305" s="555" t="s">
        <v>1146</v>
      </c>
      <c r="F305" s="552">
        <f>(12/0.5+1)*(2*3+4*1.5+0.5*3)*0.668*1.2*2</f>
        <v>541.08000000000004</v>
      </c>
      <c r="G305" s="436">
        <v>0.1</v>
      </c>
      <c r="H305" s="539">
        <f t="shared" si="106"/>
        <v>595.1880000000001</v>
      </c>
      <c r="I305" s="540" t="s">
        <v>427</v>
      </c>
      <c r="J305" s="553">
        <f t="shared" si="108"/>
        <v>0</v>
      </c>
      <c r="K305" s="554">
        <f t="shared" si="107"/>
        <v>0</v>
      </c>
      <c r="L305" s="120"/>
      <c r="M305" s="558"/>
    </row>
    <row r="306" spans="1:13" s="187" customFormat="1" ht="78.75" x14ac:dyDescent="0.2">
      <c r="A306" s="111" t="str">
        <f>IF(F306&lt;&gt;"",1+MAX($A$6:A305),"")</f>
        <v/>
      </c>
      <c r="B306" s="533"/>
      <c r="C306" s="534"/>
      <c r="D306" s="550"/>
      <c r="E306" s="551" t="s">
        <v>1147</v>
      </c>
      <c r="F306" s="552"/>
      <c r="G306" s="127"/>
      <c r="H306" s="539"/>
      <c r="I306" s="540"/>
      <c r="J306" s="553"/>
      <c r="K306" s="554"/>
      <c r="L306" s="120"/>
    </row>
    <row r="307" spans="1:13" s="187" customFormat="1" x14ac:dyDescent="0.2">
      <c r="A307" s="111">
        <f>IF(F307&lt;&gt;"",1+MAX($A$6:A306),"")</f>
        <v>248</v>
      </c>
      <c r="B307" s="533" t="s">
        <v>1025</v>
      </c>
      <c r="C307" s="534" t="s">
        <v>1026</v>
      </c>
      <c r="D307" s="122"/>
      <c r="E307" s="555" t="s">
        <v>1027</v>
      </c>
      <c r="F307" s="552">
        <f>2*1.33*12*26/27</f>
        <v>30.737777777777779</v>
      </c>
      <c r="G307" s="436">
        <v>0.1</v>
      </c>
      <c r="H307" s="539">
        <f t="shared" ref="H307:H310" si="109">F307*(1+G307)</f>
        <v>33.811555555555557</v>
      </c>
      <c r="I307" s="540" t="s">
        <v>1028</v>
      </c>
      <c r="J307" s="553">
        <f>$J$11</f>
        <v>0</v>
      </c>
      <c r="K307" s="554">
        <f t="shared" ref="K307:K310" si="110">J307*H307</f>
        <v>0</v>
      </c>
      <c r="L307" s="120"/>
      <c r="M307" s="558"/>
    </row>
    <row r="308" spans="1:13" s="187" customFormat="1" x14ac:dyDescent="0.2">
      <c r="A308" s="111">
        <f>IF(F308&lt;&gt;"",1+MAX($A$6:A307),"")</f>
        <v>249</v>
      </c>
      <c r="B308" s="533" t="s">
        <v>1025</v>
      </c>
      <c r="C308" s="534" t="s">
        <v>1026</v>
      </c>
      <c r="D308" s="122"/>
      <c r="E308" s="555" t="s">
        <v>1144</v>
      </c>
      <c r="F308" s="552">
        <f>2*(2+1.33)*12*26</f>
        <v>2077.92</v>
      </c>
      <c r="G308" s="436">
        <v>0.1</v>
      </c>
      <c r="H308" s="539">
        <f t="shared" si="109"/>
        <v>2285.7120000000004</v>
      </c>
      <c r="I308" s="540" t="s">
        <v>1030</v>
      </c>
      <c r="J308" s="553">
        <f>J$303</f>
        <v>0</v>
      </c>
      <c r="K308" s="554">
        <f t="shared" si="110"/>
        <v>0</v>
      </c>
      <c r="L308" s="120"/>
      <c r="M308" s="558"/>
    </row>
    <row r="309" spans="1:13" s="187" customFormat="1" x14ac:dyDescent="0.2">
      <c r="A309" s="111">
        <f>IF(F309&lt;&gt;"",1+MAX($A$6:A308),"")</f>
        <v>250</v>
      </c>
      <c r="B309" s="533" t="s">
        <v>1025</v>
      </c>
      <c r="C309" s="534" t="s">
        <v>1026</v>
      </c>
      <c r="D309" s="122"/>
      <c r="E309" s="555" t="s">
        <v>1148</v>
      </c>
      <c r="F309" s="552">
        <f>6*15*3.4*1.2*26</f>
        <v>9547.1999999999989</v>
      </c>
      <c r="G309" s="436">
        <v>0.1</v>
      </c>
      <c r="H309" s="539">
        <f t="shared" si="109"/>
        <v>10501.92</v>
      </c>
      <c r="I309" s="540" t="s">
        <v>427</v>
      </c>
      <c r="J309" s="553">
        <f t="shared" ref="J309:J310" si="111">$J$15</f>
        <v>0</v>
      </c>
      <c r="K309" s="554">
        <f t="shared" si="110"/>
        <v>0</v>
      </c>
      <c r="L309" s="120"/>
      <c r="M309" s="558"/>
    </row>
    <row r="310" spans="1:13" s="187" customFormat="1" x14ac:dyDescent="0.2">
      <c r="A310" s="111">
        <f>IF(F310&lt;&gt;"",1+MAX($A$6:A309),"")</f>
        <v>251</v>
      </c>
      <c r="B310" s="533" t="s">
        <v>1025</v>
      </c>
      <c r="C310" s="534" t="s">
        <v>1026</v>
      </c>
      <c r="D310" s="122"/>
      <c r="E310" s="555" t="s">
        <v>1149</v>
      </c>
      <c r="F310" s="552">
        <f>(12/0.42+1)*(2*2+3*1.5+0.5*2)*0.668*1.2*26</f>
        <v>5855.0009142857152</v>
      </c>
      <c r="G310" s="436">
        <v>0.1</v>
      </c>
      <c r="H310" s="539">
        <f t="shared" si="109"/>
        <v>6440.5010057142872</v>
      </c>
      <c r="I310" s="540" t="s">
        <v>427</v>
      </c>
      <c r="J310" s="553">
        <f t="shared" si="111"/>
        <v>0</v>
      </c>
      <c r="K310" s="554">
        <f t="shared" si="110"/>
        <v>0</v>
      </c>
      <c r="L310" s="120"/>
      <c r="M310" s="558"/>
    </row>
    <row r="311" spans="1:13" s="187" customFormat="1" ht="63" x14ac:dyDescent="0.2">
      <c r="A311" s="111" t="str">
        <f>IF(F311&lt;&gt;"",1+MAX($A$6:A310),"")</f>
        <v/>
      </c>
      <c r="B311" s="533"/>
      <c r="C311" s="534"/>
      <c r="D311" s="550"/>
      <c r="E311" s="551" t="s">
        <v>1150</v>
      </c>
      <c r="F311" s="552"/>
      <c r="G311" s="127"/>
      <c r="H311" s="539"/>
      <c r="I311" s="540"/>
      <c r="J311" s="553"/>
      <c r="K311" s="554"/>
      <c r="L311" s="120"/>
    </row>
    <row r="312" spans="1:13" s="187" customFormat="1" x14ac:dyDescent="0.2">
      <c r="A312" s="111">
        <f>IF(F312&lt;&gt;"",1+MAX($A$6:A311),"")</f>
        <v>252</v>
      </c>
      <c r="B312" s="533" t="s">
        <v>1025</v>
      </c>
      <c r="C312" s="534" t="s">
        <v>1026</v>
      </c>
      <c r="D312" s="122"/>
      <c r="E312" s="555" t="s">
        <v>1027</v>
      </c>
      <c r="F312" s="564">
        <f>3.14*1*1*0.25*12/27</f>
        <v>0.34888888888888886</v>
      </c>
      <c r="G312" s="436">
        <v>0.1</v>
      </c>
      <c r="H312" s="565">
        <f t="shared" si="20"/>
        <v>0.38377777777777777</v>
      </c>
      <c r="I312" s="540" t="s">
        <v>1028</v>
      </c>
      <c r="J312" s="553">
        <f>$J$11</f>
        <v>0</v>
      </c>
      <c r="K312" s="554">
        <f t="shared" si="21"/>
        <v>0</v>
      </c>
      <c r="L312" s="120"/>
      <c r="M312" s="558"/>
    </row>
    <row r="313" spans="1:13" s="187" customFormat="1" x14ac:dyDescent="0.2">
      <c r="A313" s="111">
        <f>IF(F313&lt;&gt;"",1+MAX($A$6:A312),"")</f>
        <v>253</v>
      </c>
      <c r="B313" s="533" t="s">
        <v>1025</v>
      </c>
      <c r="C313" s="534" t="s">
        <v>1026</v>
      </c>
      <c r="D313" s="122"/>
      <c r="E313" s="555" t="s">
        <v>1151</v>
      </c>
      <c r="F313" s="552">
        <f>3.14*1*12</f>
        <v>37.68</v>
      </c>
      <c r="G313" s="436">
        <v>0.1</v>
      </c>
      <c r="H313" s="539">
        <f t="shared" si="20"/>
        <v>41.448</v>
      </c>
      <c r="I313" s="540" t="s">
        <v>1030</v>
      </c>
      <c r="J313" s="556">
        <v>0</v>
      </c>
      <c r="K313" s="554">
        <f t="shared" si="21"/>
        <v>0</v>
      </c>
      <c r="L313" s="120"/>
      <c r="M313" s="558"/>
    </row>
    <row r="314" spans="1:13" s="187" customFormat="1" x14ac:dyDescent="0.2">
      <c r="A314" s="111">
        <f>IF(F314&lt;&gt;"",1+MAX($A$6:A313),"")</f>
        <v>254</v>
      </c>
      <c r="B314" s="533" t="s">
        <v>1025</v>
      </c>
      <c r="C314" s="534" t="s">
        <v>1026</v>
      </c>
      <c r="D314" s="122"/>
      <c r="E314" s="555" t="s">
        <v>1152</v>
      </c>
      <c r="F314" s="552">
        <f>4*15*2.67*1.2</f>
        <v>192.23999999999998</v>
      </c>
      <c r="G314" s="436">
        <v>0.1</v>
      </c>
      <c r="H314" s="539">
        <f t="shared" si="20"/>
        <v>211.464</v>
      </c>
      <c r="I314" s="540" t="s">
        <v>427</v>
      </c>
      <c r="J314" s="553">
        <f t="shared" ref="J314:J315" si="112">$J$15</f>
        <v>0</v>
      </c>
      <c r="K314" s="554">
        <f t="shared" si="21"/>
        <v>0</v>
      </c>
      <c r="L314" s="120"/>
      <c r="M314" s="558"/>
    </row>
    <row r="315" spans="1:13" s="187" customFormat="1" x14ac:dyDescent="0.2">
      <c r="A315" s="111">
        <f>IF(F315&lt;&gt;"",1+MAX($A$6:A314),"")</f>
        <v>255</v>
      </c>
      <c r="B315" s="533" t="s">
        <v>1025</v>
      </c>
      <c r="C315" s="534" t="s">
        <v>1026</v>
      </c>
      <c r="D315" s="122"/>
      <c r="E315" s="555" t="s">
        <v>1153</v>
      </c>
      <c r="F315" s="552">
        <f>12/0.42*3.14*1*0.376*1.2</f>
        <v>40.479085714285716</v>
      </c>
      <c r="G315" s="436">
        <v>0.1</v>
      </c>
      <c r="H315" s="539">
        <f t="shared" si="20"/>
        <v>44.526994285714295</v>
      </c>
      <c r="I315" s="540" t="s">
        <v>427</v>
      </c>
      <c r="J315" s="553">
        <f t="shared" si="112"/>
        <v>0</v>
      </c>
      <c r="K315" s="554">
        <f t="shared" si="21"/>
        <v>0</v>
      </c>
      <c r="L315" s="120"/>
      <c r="M315" s="558"/>
    </row>
    <row r="316" spans="1:13" s="187" customFormat="1" ht="16.5" thickBot="1" x14ac:dyDescent="0.25">
      <c r="A316" s="111" t="str">
        <f>IF(F316&lt;&gt;"",1+MAX($A$6:A315),"")</f>
        <v/>
      </c>
      <c r="B316" s="533"/>
      <c r="C316" s="534"/>
      <c r="D316" s="122"/>
      <c r="E316" s="559"/>
      <c r="F316" s="560"/>
      <c r="G316" s="436"/>
      <c r="H316" s="539"/>
      <c r="I316" s="540"/>
      <c r="J316" s="553"/>
      <c r="K316" s="554"/>
      <c r="L316" s="120"/>
      <c r="M316" s="558"/>
    </row>
    <row r="317" spans="1:13" s="187" customFormat="1" ht="16.5" thickBot="1" x14ac:dyDescent="0.25">
      <c r="A317" s="111" t="str">
        <f>IF(F317&lt;&gt;"",1+MAX($A$6:A316),"")</f>
        <v/>
      </c>
      <c r="B317" s="533"/>
      <c r="C317" s="542"/>
      <c r="D317" s="543"/>
      <c r="E317" s="561" t="s">
        <v>1154</v>
      </c>
      <c r="F317" s="537"/>
      <c r="G317" s="546"/>
      <c r="H317" s="547"/>
      <c r="I317" s="548"/>
      <c r="J317" s="226"/>
      <c r="K317" s="549"/>
      <c r="L317" s="120"/>
    </row>
    <row r="318" spans="1:13" s="187" customFormat="1" x14ac:dyDescent="0.2">
      <c r="A318" s="111">
        <f>IF(F318&lt;&gt;"",1+MAX($A$6:A317),"")</f>
        <v>256</v>
      </c>
      <c r="B318" s="533" t="s">
        <v>1025</v>
      </c>
      <c r="C318" s="534" t="s">
        <v>1026</v>
      </c>
      <c r="D318" s="566">
        <f>H318*0.334/27</f>
        <v>367.4816444444445</v>
      </c>
      <c r="E318" s="555" t="s">
        <v>1155</v>
      </c>
      <c r="F318" s="552">
        <v>27006</v>
      </c>
      <c r="G318" s="436">
        <v>0.1</v>
      </c>
      <c r="H318" s="539">
        <f t="shared" si="20"/>
        <v>29706.600000000002</v>
      </c>
      <c r="I318" s="540" t="s">
        <v>18</v>
      </c>
      <c r="J318" s="556">
        <v>0</v>
      </c>
      <c r="K318" s="554">
        <f t="shared" si="21"/>
        <v>0</v>
      </c>
      <c r="L318" s="120"/>
      <c r="M318" s="558"/>
    </row>
    <row r="319" spans="1:13" s="187" customFormat="1" x14ac:dyDescent="0.2">
      <c r="A319" s="111">
        <f>IF(F319&lt;&gt;"",1+MAX($A$6:A318),"")</f>
        <v>257</v>
      </c>
      <c r="B319" s="533" t="s">
        <v>1025</v>
      </c>
      <c r="C319" s="534" t="s">
        <v>1026</v>
      </c>
      <c r="D319" s="122"/>
      <c r="E319" s="555" t="s">
        <v>1156</v>
      </c>
      <c r="F319" s="552">
        <f>0.668*1.2*2*F318/1.33</f>
        <v>32553.397894736841</v>
      </c>
      <c r="G319" s="436">
        <v>0.1</v>
      </c>
      <c r="H319" s="539">
        <f t="shared" si="20"/>
        <v>35808.73768421053</v>
      </c>
      <c r="I319" s="540" t="s">
        <v>427</v>
      </c>
      <c r="J319" s="553">
        <f>$J$15</f>
        <v>0</v>
      </c>
      <c r="K319" s="554">
        <f t="shared" si="21"/>
        <v>0</v>
      </c>
      <c r="L319" s="120"/>
      <c r="M319" s="558"/>
    </row>
    <row r="320" spans="1:13" s="187" customFormat="1" x14ac:dyDescent="0.2">
      <c r="A320" s="111">
        <f>IF(F320&lt;&gt;"",1+MAX($A$6:A319),"")</f>
        <v>258</v>
      </c>
      <c r="B320" s="533" t="s">
        <v>1025</v>
      </c>
      <c r="C320" s="534" t="s">
        <v>1026</v>
      </c>
      <c r="D320" s="122"/>
      <c r="E320" s="555" t="s">
        <v>1157</v>
      </c>
      <c r="F320" s="552">
        <v>713</v>
      </c>
      <c r="G320" s="436">
        <v>0.1</v>
      </c>
      <c r="H320" s="539">
        <f t="shared" si="20"/>
        <v>784.30000000000007</v>
      </c>
      <c r="I320" s="540" t="s">
        <v>15</v>
      </c>
      <c r="J320" s="556">
        <v>0</v>
      </c>
      <c r="K320" s="554">
        <f t="shared" si="21"/>
        <v>0</v>
      </c>
      <c r="L320" s="120"/>
      <c r="M320" s="558"/>
    </row>
    <row r="321" spans="1:13" s="187" customFormat="1" x14ac:dyDescent="0.2">
      <c r="A321" s="111">
        <f>IF(F321&lt;&gt;"",1+MAX($A$6:A320),"")</f>
        <v>259</v>
      </c>
      <c r="B321" s="533" t="s">
        <v>1025</v>
      </c>
      <c r="C321" s="534" t="s">
        <v>1026</v>
      </c>
      <c r="D321" s="122"/>
      <c r="E321" s="555" t="s">
        <v>1158</v>
      </c>
      <c r="F321" s="552">
        <f>0.16*F318</f>
        <v>4320.96</v>
      </c>
      <c r="G321" s="436">
        <v>0.1</v>
      </c>
      <c r="H321" s="539">
        <f t="shared" si="20"/>
        <v>4753.0560000000005</v>
      </c>
      <c r="I321" s="540" t="s">
        <v>15</v>
      </c>
      <c r="J321" s="556">
        <v>0</v>
      </c>
      <c r="K321" s="554">
        <f t="shared" si="21"/>
        <v>0</v>
      </c>
      <c r="L321" s="120"/>
      <c r="M321" s="558"/>
    </row>
    <row r="322" spans="1:13" s="187" customFormat="1" x14ac:dyDescent="0.2">
      <c r="A322" s="111">
        <f>IF(F322&lt;&gt;"",1+MAX($A$6:A321),"")</f>
        <v>260</v>
      </c>
      <c r="B322" s="533" t="s">
        <v>1025</v>
      </c>
      <c r="C322" s="534" t="s">
        <v>1026</v>
      </c>
      <c r="D322" s="122"/>
      <c r="E322" s="555" t="s">
        <v>1159</v>
      </c>
      <c r="F322" s="552">
        <f>F320</f>
        <v>713</v>
      </c>
      <c r="G322" s="436">
        <v>0.1</v>
      </c>
      <c r="H322" s="539">
        <f t="shared" si="20"/>
        <v>784.30000000000007</v>
      </c>
      <c r="I322" s="540" t="s">
        <v>15</v>
      </c>
      <c r="J322" s="556">
        <v>0</v>
      </c>
      <c r="K322" s="554">
        <f t="shared" si="21"/>
        <v>0</v>
      </c>
      <c r="L322" s="120"/>
      <c r="M322" s="558"/>
    </row>
    <row r="323" spans="1:13" s="187" customFormat="1" x14ac:dyDescent="0.2">
      <c r="A323" s="111">
        <f>IF(F323&lt;&gt;"",1+MAX($A$6:A322),"")</f>
        <v>261</v>
      </c>
      <c r="B323" s="533" t="s">
        <v>1025</v>
      </c>
      <c r="C323" s="534" t="s">
        <v>1026</v>
      </c>
      <c r="D323" s="122"/>
      <c r="E323" s="555" t="s">
        <v>1160</v>
      </c>
      <c r="F323" s="552">
        <f>F318</f>
        <v>27006</v>
      </c>
      <c r="G323" s="436">
        <v>0.1</v>
      </c>
      <c r="H323" s="539">
        <f t="shared" si="20"/>
        <v>29706.600000000002</v>
      </c>
      <c r="I323" s="540" t="s">
        <v>18</v>
      </c>
      <c r="J323" s="556">
        <v>0</v>
      </c>
      <c r="K323" s="554">
        <f t="shared" si="21"/>
        <v>0</v>
      </c>
      <c r="L323" s="120"/>
      <c r="M323" s="558"/>
    </row>
    <row r="324" spans="1:13" s="187" customFormat="1" x14ac:dyDescent="0.2">
      <c r="A324" s="111">
        <f>IF(F324&lt;&gt;"",1+MAX($A$6:A323),"")</f>
        <v>262</v>
      </c>
      <c r="B324" s="533" t="s">
        <v>1025</v>
      </c>
      <c r="C324" s="534" t="s">
        <v>1026</v>
      </c>
      <c r="D324" s="122"/>
      <c r="E324" s="555" t="s">
        <v>1161</v>
      </c>
      <c r="F324" s="552">
        <f>F323*0.33/27</f>
        <v>330.07333333333332</v>
      </c>
      <c r="G324" s="436">
        <v>0.1</v>
      </c>
      <c r="H324" s="539">
        <f t="shared" si="20"/>
        <v>363.08066666666667</v>
      </c>
      <c r="I324" s="540" t="s">
        <v>1028</v>
      </c>
      <c r="J324" s="553">
        <f>J$196</f>
        <v>0</v>
      </c>
      <c r="K324" s="554">
        <f t="shared" si="21"/>
        <v>0</v>
      </c>
      <c r="L324" s="120"/>
      <c r="M324" s="558"/>
    </row>
    <row r="325" spans="1:13" s="187" customFormat="1" x14ac:dyDescent="0.2">
      <c r="A325" s="111" t="str">
        <f>IF(F325&lt;&gt;"",1+MAX($A$6:A324),"")</f>
        <v/>
      </c>
      <c r="B325" s="533"/>
      <c r="C325" s="534"/>
      <c r="D325" s="122"/>
      <c r="E325" s="563" t="s">
        <v>1162</v>
      </c>
      <c r="F325" s="552"/>
      <c r="G325" s="436"/>
      <c r="H325" s="539"/>
      <c r="I325" s="540"/>
      <c r="J325" s="553"/>
      <c r="K325" s="554"/>
      <c r="L325" s="120"/>
      <c r="M325" s="558"/>
    </row>
    <row r="326" spans="1:13" s="187" customFormat="1" x14ac:dyDescent="0.2">
      <c r="A326" s="111">
        <f>IF(F326&lt;&gt;"",1+MAX($A$6:A325),"")</f>
        <v>263</v>
      </c>
      <c r="B326" s="533" t="s">
        <v>1025</v>
      </c>
      <c r="C326" s="534" t="s">
        <v>1026</v>
      </c>
      <c r="D326" s="122"/>
      <c r="E326" s="555" t="s">
        <v>1163</v>
      </c>
      <c r="F326" s="552">
        <f>F322*1*0.33/27</f>
        <v>8.714444444444446</v>
      </c>
      <c r="G326" s="436">
        <v>0.1</v>
      </c>
      <c r="H326" s="539">
        <f t="shared" si="20"/>
        <v>9.585888888888892</v>
      </c>
      <c r="I326" s="540" t="s">
        <v>1028</v>
      </c>
      <c r="J326" s="556">
        <v>0</v>
      </c>
      <c r="K326" s="554">
        <f t="shared" si="21"/>
        <v>0</v>
      </c>
      <c r="L326" s="120"/>
      <c r="M326" s="558"/>
    </row>
    <row r="327" spans="1:13" s="187" customFormat="1" x14ac:dyDescent="0.2">
      <c r="A327" s="111">
        <f>IF(F327&lt;&gt;"",1+MAX($A$6:A326),"")</f>
        <v>264</v>
      </c>
      <c r="B327" s="533" t="s">
        <v>1025</v>
      </c>
      <c r="C327" s="534" t="s">
        <v>1026</v>
      </c>
      <c r="D327" s="122"/>
      <c r="E327" s="555" t="s">
        <v>1157</v>
      </c>
      <c r="F327" s="552">
        <f>F322</f>
        <v>713</v>
      </c>
      <c r="G327" s="436">
        <v>0.1</v>
      </c>
      <c r="H327" s="539">
        <f t="shared" si="20"/>
        <v>784.30000000000007</v>
      </c>
      <c r="I327" s="540" t="s">
        <v>15</v>
      </c>
      <c r="J327" s="553">
        <f>$J$320</f>
        <v>0</v>
      </c>
      <c r="K327" s="554">
        <f t="shared" si="21"/>
        <v>0</v>
      </c>
      <c r="L327" s="120"/>
      <c r="M327" s="558"/>
    </row>
    <row r="328" spans="1:13" s="187" customFormat="1" x14ac:dyDescent="0.2">
      <c r="A328" s="111">
        <f>IF(F328&lt;&gt;"",1+MAX($A$6:A327),"")</f>
        <v>265</v>
      </c>
      <c r="B328" s="533" t="s">
        <v>1025</v>
      </c>
      <c r="C328" s="534" t="s">
        <v>1090</v>
      </c>
      <c r="D328" s="122"/>
      <c r="E328" s="555" t="s">
        <v>1164</v>
      </c>
      <c r="F328" s="552">
        <v>29</v>
      </c>
      <c r="G328" s="436">
        <v>0</v>
      </c>
      <c r="H328" s="539">
        <f t="shared" si="20"/>
        <v>29</v>
      </c>
      <c r="I328" s="540" t="s">
        <v>20</v>
      </c>
      <c r="J328" s="556">
        <v>0</v>
      </c>
      <c r="K328" s="554">
        <f t="shared" si="21"/>
        <v>0</v>
      </c>
      <c r="L328" s="120"/>
      <c r="M328" s="558"/>
    </row>
    <row r="329" spans="1:13" s="187" customFormat="1" x14ac:dyDescent="0.2">
      <c r="A329" s="111">
        <f>IF(F329&lt;&gt;"",1+MAX($A$6:A328),"")</f>
        <v>266</v>
      </c>
      <c r="B329" s="533" t="s">
        <v>1025</v>
      </c>
      <c r="C329" s="534" t="s">
        <v>1090</v>
      </c>
      <c r="D329" s="122"/>
      <c r="E329" s="555" t="s">
        <v>1165</v>
      </c>
      <c r="F329" s="552">
        <f>4*29*4.2*0.668*1.2</f>
        <v>390.53952000000004</v>
      </c>
      <c r="G329" s="436">
        <v>0.1</v>
      </c>
      <c r="H329" s="539">
        <f t="shared" si="20"/>
        <v>429.59347200000008</v>
      </c>
      <c r="I329" s="540" t="s">
        <v>427</v>
      </c>
      <c r="J329" s="553">
        <f t="shared" ref="J329:J330" si="113">$J$15</f>
        <v>0</v>
      </c>
      <c r="K329" s="554">
        <f t="shared" si="21"/>
        <v>0</v>
      </c>
      <c r="L329" s="120"/>
      <c r="M329" s="558"/>
    </row>
    <row r="330" spans="1:13" s="187" customFormat="1" x14ac:dyDescent="0.2">
      <c r="A330" s="111">
        <f>IF(F330&lt;&gt;"",1+MAX($A$6:A329),"")</f>
        <v>267</v>
      </c>
      <c r="B330" s="533" t="s">
        <v>1025</v>
      </c>
      <c r="C330" s="534" t="s">
        <v>1090</v>
      </c>
      <c r="D330" s="122"/>
      <c r="E330" s="555" t="s">
        <v>1166</v>
      </c>
      <c r="F330" s="552">
        <f>4*29*1.75*1.043*1.2</f>
        <v>254.07479999999998</v>
      </c>
      <c r="G330" s="436">
        <v>0.1</v>
      </c>
      <c r="H330" s="539">
        <f t="shared" si="20"/>
        <v>279.48228</v>
      </c>
      <c r="I330" s="540" t="s">
        <v>427</v>
      </c>
      <c r="J330" s="553">
        <f t="shared" si="113"/>
        <v>0</v>
      </c>
      <c r="K330" s="554">
        <f t="shared" si="21"/>
        <v>0</v>
      </c>
      <c r="L330" s="120"/>
      <c r="M330" s="558"/>
    </row>
    <row r="331" spans="1:13" s="187" customFormat="1" ht="16.5" thickBot="1" x14ac:dyDescent="0.25">
      <c r="A331" s="111" t="str">
        <f>IF(F331&lt;&gt;"",1+MAX($A$6:A330),"")</f>
        <v/>
      </c>
      <c r="B331" s="533"/>
      <c r="C331" s="534"/>
      <c r="D331" s="122"/>
      <c r="E331" s="559"/>
      <c r="F331" s="560"/>
      <c r="G331" s="436"/>
      <c r="H331" s="539"/>
      <c r="I331" s="540"/>
      <c r="J331" s="553"/>
      <c r="K331" s="554"/>
      <c r="L331" s="120"/>
      <c r="M331" s="558"/>
    </row>
    <row r="332" spans="1:13" s="187" customFormat="1" ht="16.5" thickBot="1" x14ac:dyDescent="0.25">
      <c r="A332" s="111" t="str">
        <f>IF(F332&lt;&gt;"",1+MAX($A$6:A331),"")</f>
        <v/>
      </c>
      <c r="B332" s="533"/>
      <c r="C332" s="542"/>
      <c r="D332" s="543"/>
      <c r="E332" s="561" t="s">
        <v>1167</v>
      </c>
      <c r="F332" s="537"/>
      <c r="G332" s="546"/>
      <c r="H332" s="547"/>
      <c r="I332" s="548"/>
      <c r="J332" s="226"/>
      <c r="K332" s="549"/>
      <c r="L332" s="120"/>
    </row>
    <row r="333" spans="1:13" s="187" customFormat="1" x14ac:dyDescent="0.2">
      <c r="A333" s="111">
        <f>IF(F333&lt;&gt;"",1+MAX($A$6:A332),"")</f>
        <v>268</v>
      </c>
      <c r="B333" s="533" t="s">
        <v>1025</v>
      </c>
      <c r="C333" s="534" t="s">
        <v>1168</v>
      </c>
      <c r="D333" s="122"/>
      <c r="E333" s="555" t="s">
        <v>1163</v>
      </c>
      <c r="F333" s="552">
        <f>21*1.67/27</f>
        <v>1.298888888888889</v>
      </c>
      <c r="G333" s="436">
        <v>0.1</v>
      </c>
      <c r="H333" s="539">
        <f t="shared" si="20"/>
        <v>1.4287777777777779</v>
      </c>
      <c r="I333" s="540" t="s">
        <v>1028</v>
      </c>
      <c r="J333" s="553">
        <f>$J$326</f>
        <v>0</v>
      </c>
      <c r="K333" s="554">
        <f t="shared" si="21"/>
        <v>0</v>
      </c>
      <c r="L333" s="120"/>
      <c r="M333" s="558"/>
    </row>
    <row r="334" spans="1:13" s="187" customFormat="1" x14ac:dyDescent="0.2">
      <c r="A334" s="111">
        <f>IF(F334&lt;&gt;"",1+MAX($A$6:A333),"")</f>
        <v>269</v>
      </c>
      <c r="B334" s="533" t="s">
        <v>1025</v>
      </c>
      <c r="C334" s="534" t="s">
        <v>1168</v>
      </c>
      <c r="D334" s="122"/>
      <c r="E334" s="555" t="s">
        <v>1169</v>
      </c>
      <c r="F334" s="552">
        <f>21*0.67*2</f>
        <v>28.14</v>
      </c>
      <c r="G334" s="436">
        <v>0.1</v>
      </c>
      <c r="H334" s="539">
        <f t="shared" si="20"/>
        <v>30.954000000000004</v>
      </c>
      <c r="I334" s="540" t="s">
        <v>1030</v>
      </c>
      <c r="J334" s="553">
        <f>$J$12</f>
        <v>0</v>
      </c>
      <c r="K334" s="554">
        <f t="shared" si="21"/>
        <v>0</v>
      </c>
      <c r="L334" s="120"/>
      <c r="M334" s="558"/>
    </row>
    <row r="335" spans="1:13" s="187" customFormat="1" x14ac:dyDescent="0.2">
      <c r="A335" s="111">
        <f>IF(F335&lt;&gt;"",1+MAX($A$6:A334),"")</f>
        <v>270</v>
      </c>
      <c r="B335" s="533" t="s">
        <v>1025</v>
      </c>
      <c r="C335" s="534" t="s">
        <v>1168</v>
      </c>
      <c r="D335" s="122"/>
      <c r="E335" s="555" t="s">
        <v>1053</v>
      </c>
      <c r="F335" s="552">
        <f>4*21*1.043*1.2</f>
        <v>105.13439999999999</v>
      </c>
      <c r="G335" s="436">
        <v>0.1</v>
      </c>
      <c r="H335" s="539">
        <f t="shared" si="20"/>
        <v>115.64783999999999</v>
      </c>
      <c r="I335" s="540" t="s">
        <v>427</v>
      </c>
      <c r="J335" s="553">
        <f t="shared" ref="J335:J336" si="114">$J$15</f>
        <v>0</v>
      </c>
      <c r="K335" s="554">
        <f t="shared" si="21"/>
        <v>0</v>
      </c>
      <c r="L335" s="120"/>
      <c r="M335" s="558"/>
    </row>
    <row r="336" spans="1:13" s="187" customFormat="1" x14ac:dyDescent="0.2">
      <c r="A336" s="111">
        <f>IF(F336&lt;&gt;"",1+MAX($A$6:A335),"")</f>
        <v>271</v>
      </c>
      <c r="B336" s="533" t="s">
        <v>1025</v>
      </c>
      <c r="C336" s="534" t="s">
        <v>1168</v>
      </c>
      <c r="D336" s="122"/>
      <c r="E336" s="555" t="s">
        <v>1170</v>
      </c>
      <c r="F336" s="552">
        <f>21/1.33*4*0.668*1.2</f>
        <v>50.62736842105263</v>
      </c>
      <c r="G336" s="436">
        <v>0.1</v>
      </c>
      <c r="H336" s="539">
        <f t="shared" ref="H336" si="115">F336*(1+G336)</f>
        <v>55.690105263157896</v>
      </c>
      <c r="I336" s="540" t="s">
        <v>427</v>
      </c>
      <c r="J336" s="553">
        <f t="shared" si="114"/>
        <v>0</v>
      </c>
      <c r="K336" s="554">
        <f t="shared" ref="K336" si="116">J336*H336</f>
        <v>0</v>
      </c>
      <c r="L336" s="120"/>
      <c r="M336" s="558"/>
    </row>
    <row r="337" spans="1:13" s="187" customFormat="1" ht="16.5" thickBot="1" x14ac:dyDescent="0.25">
      <c r="A337" s="111" t="str">
        <f>IF(F337&lt;&gt;"",1+MAX($A$6:A336),"")</f>
        <v/>
      </c>
      <c r="B337" s="533"/>
      <c r="C337" s="534"/>
      <c r="D337" s="122"/>
      <c r="E337" s="559"/>
      <c r="F337" s="560"/>
      <c r="G337" s="436"/>
      <c r="H337" s="539"/>
      <c r="I337" s="540"/>
      <c r="J337" s="553"/>
      <c r="K337" s="554"/>
      <c r="L337" s="120"/>
      <c r="M337" s="558"/>
    </row>
    <row r="338" spans="1:13" s="187" customFormat="1" ht="16.5" thickBot="1" x14ac:dyDescent="0.25">
      <c r="A338" s="111" t="str">
        <f>IF(F338&lt;&gt;"",1+MAX($A$6:A337),"")</f>
        <v/>
      </c>
      <c r="B338" s="533"/>
      <c r="C338" s="542"/>
      <c r="D338" s="543"/>
      <c r="E338" s="561" t="s">
        <v>1171</v>
      </c>
      <c r="F338" s="537"/>
      <c r="G338" s="546"/>
      <c r="H338" s="547"/>
      <c r="I338" s="548"/>
      <c r="J338" s="226"/>
      <c r="K338" s="549"/>
      <c r="L338" s="120"/>
    </row>
    <row r="339" spans="1:13" s="187" customFormat="1" x14ac:dyDescent="0.2">
      <c r="A339" s="111">
        <f>IF(F339&lt;&gt;"",1+MAX($A$6:A338),"")</f>
        <v>272</v>
      </c>
      <c r="B339" s="533" t="s">
        <v>1025</v>
      </c>
      <c r="C339" s="534" t="s">
        <v>1172</v>
      </c>
      <c r="D339" s="122"/>
      <c r="E339" s="555" t="s">
        <v>1163</v>
      </c>
      <c r="F339" s="552">
        <f>110*0.67*0.33/27</f>
        <v>0.90077777777777779</v>
      </c>
      <c r="G339" s="436">
        <v>0.1</v>
      </c>
      <c r="H339" s="539">
        <f t="shared" ref="H339:H342" si="117">F339*(1+G339)</f>
        <v>0.9908555555555556</v>
      </c>
      <c r="I339" s="540" t="s">
        <v>1028</v>
      </c>
      <c r="J339" s="553">
        <f>$J$326</f>
        <v>0</v>
      </c>
      <c r="K339" s="554">
        <f t="shared" ref="K339:K342" si="118">J339*H339</f>
        <v>0</v>
      </c>
      <c r="L339" s="120"/>
      <c r="M339" s="558"/>
    </row>
    <row r="340" spans="1:13" s="187" customFormat="1" x14ac:dyDescent="0.2">
      <c r="A340" s="111">
        <f>IF(F340&lt;&gt;"",1+MAX($A$6:A339),"")</f>
        <v>273</v>
      </c>
      <c r="B340" s="533" t="s">
        <v>1025</v>
      </c>
      <c r="C340" s="534" t="s">
        <v>1172</v>
      </c>
      <c r="D340" s="122"/>
      <c r="E340" s="555" t="s">
        <v>1173</v>
      </c>
      <c r="F340" s="552">
        <f>110*0.33</f>
        <v>36.300000000000004</v>
      </c>
      <c r="G340" s="436">
        <v>0.1</v>
      </c>
      <c r="H340" s="539">
        <f t="shared" si="117"/>
        <v>39.930000000000007</v>
      </c>
      <c r="I340" s="540" t="s">
        <v>1030</v>
      </c>
      <c r="J340" s="556">
        <v>0</v>
      </c>
      <c r="K340" s="554">
        <f t="shared" si="118"/>
        <v>0</v>
      </c>
      <c r="L340" s="120"/>
      <c r="M340" s="558"/>
    </row>
    <row r="341" spans="1:13" s="187" customFormat="1" x14ac:dyDescent="0.2">
      <c r="A341" s="111">
        <f>IF(F341&lt;&gt;"",1+MAX($A$6:A340),"")</f>
        <v>274</v>
      </c>
      <c r="B341" s="533" t="s">
        <v>1025</v>
      </c>
      <c r="C341" s="534" t="s">
        <v>1172</v>
      </c>
      <c r="D341" s="122"/>
      <c r="E341" s="555" t="s">
        <v>1174</v>
      </c>
      <c r="F341" s="552">
        <f>110*0.668*1.2</f>
        <v>88.176000000000002</v>
      </c>
      <c r="G341" s="436">
        <v>0.1</v>
      </c>
      <c r="H341" s="539">
        <f t="shared" si="117"/>
        <v>96.993600000000015</v>
      </c>
      <c r="I341" s="540" t="s">
        <v>427</v>
      </c>
      <c r="J341" s="553">
        <f t="shared" ref="J341:J342" si="119">$J$15</f>
        <v>0</v>
      </c>
      <c r="K341" s="554">
        <f t="shared" si="118"/>
        <v>0</v>
      </c>
      <c r="L341" s="120"/>
      <c r="M341" s="558"/>
    </row>
    <row r="342" spans="1:13" s="187" customFormat="1" x14ac:dyDescent="0.2">
      <c r="A342" s="111">
        <f>IF(F342&lt;&gt;"",1+MAX($A$6:A341),"")</f>
        <v>275</v>
      </c>
      <c r="B342" s="533" t="s">
        <v>1025</v>
      </c>
      <c r="C342" s="534" t="s">
        <v>1172</v>
      </c>
      <c r="D342" s="122"/>
      <c r="E342" s="555" t="s">
        <v>1170</v>
      </c>
      <c r="F342" s="552">
        <f>110/1.33*2.5*0.668*1.2</f>
        <v>165.74436090225561</v>
      </c>
      <c r="G342" s="436">
        <v>0.1</v>
      </c>
      <c r="H342" s="539">
        <f t="shared" si="117"/>
        <v>182.3187969924812</v>
      </c>
      <c r="I342" s="540" t="s">
        <v>427</v>
      </c>
      <c r="J342" s="553">
        <f t="shared" si="119"/>
        <v>0</v>
      </c>
      <c r="K342" s="554">
        <f t="shared" si="118"/>
        <v>0</v>
      </c>
      <c r="L342" s="120"/>
      <c r="M342" s="558"/>
    </row>
    <row r="343" spans="1:13" s="187" customFormat="1" ht="16.5" thickBot="1" x14ac:dyDescent="0.25">
      <c r="A343" s="111" t="str">
        <f>IF(F343&lt;&gt;"",1+MAX($A$6:A342),"")</f>
        <v/>
      </c>
      <c r="B343" s="533"/>
      <c r="C343" s="534"/>
      <c r="D343" s="122"/>
      <c r="E343" s="559"/>
      <c r="F343" s="560"/>
      <c r="G343" s="436"/>
      <c r="H343" s="539"/>
      <c r="I343" s="540"/>
      <c r="J343" s="553"/>
      <c r="K343" s="554"/>
      <c r="L343" s="120"/>
      <c r="M343" s="558"/>
    </row>
    <row r="344" spans="1:13" s="187" customFormat="1" ht="16.5" thickBot="1" x14ac:dyDescent="0.25">
      <c r="A344" s="111" t="str">
        <f>IF(F344&lt;&gt;"",1+MAX($A$6:A343),"")</f>
        <v/>
      </c>
      <c r="B344" s="533"/>
      <c r="C344" s="542"/>
      <c r="D344" s="543"/>
      <c r="E344" s="561" t="s">
        <v>1175</v>
      </c>
      <c r="F344" s="537"/>
      <c r="G344" s="546"/>
      <c r="H344" s="547"/>
      <c r="I344" s="548"/>
      <c r="J344" s="226"/>
      <c r="K344" s="549"/>
      <c r="L344" s="120"/>
    </row>
    <row r="345" spans="1:13" s="187" customFormat="1" x14ac:dyDescent="0.2">
      <c r="A345" s="111" t="str">
        <f>IF(F345&lt;&gt;"",1+MAX($A$6:A344),"")</f>
        <v/>
      </c>
      <c r="B345" s="533"/>
      <c r="C345" s="534"/>
      <c r="D345" s="122"/>
      <c r="E345" s="563" t="s">
        <v>1176</v>
      </c>
      <c r="F345" s="552"/>
      <c r="G345" s="436"/>
      <c r="H345" s="539"/>
      <c r="I345" s="540"/>
      <c r="J345" s="553"/>
      <c r="K345" s="554"/>
      <c r="L345" s="120"/>
      <c r="M345" s="558"/>
    </row>
    <row r="346" spans="1:13" s="187" customFormat="1" x14ac:dyDescent="0.2">
      <c r="A346" s="111">
        <f>IF(F346&lt;&gt;"",1+MAX($A$6:A345),"")</f>
        <v>276</v>
      </c>
      <c r="B346" s="533" t="s">
        <v>1177</v>
      </c>
      <c r="C346" s="534" t="s">
        <v>1026</v>
      </c>
      <c r="D346" s="566">
        <f>H346/27*0.83</f>
        <v>303.55559259259257</v>
      </c>
      <c r="E346" s="555" t="s">
        <v>1178</v>
      </c>
      <c r="F346" s="552">
        <v>8977</v>
      </c>
      <c r="G346" s="436">
        <v>0.1</v>
      </c>
      <c r="H346" s="539">
        <f>F346*(1+G346)</f>
        <v>9874.7000000000007</v>
      </c>
      <c r="I346" s="540" t="s">
        <v>18</v>
      </c>
      <c r="J346" s="556">
        <v>0</v>
      </c>
      <c r="K346" s="554">
        <f>J346*H346</f>
        <v>0</v>
      </c>
      <c r="L346" s="120"/>
      <c r="M346" s="558"/>
    </row>
    <row r="347" spans="1:13" s="187" customFormat="1" x14ac:dyDescent="0.2">
      <c r="A347" s="111">
        <f>IF(F347&lt;&gt;"",1+MAX($A$6:A346),"")</f>
        <v>277</v>
      </c>
      <c r="B347" s="533" t="s">
        <v>1177</v>
      </c>
      <c r="C347" s="534" t="s">
        <v>1026</v>
      </c>
      <c r="D347" s="567"/>
      <c r="E347" s="555" t="s">
        <v>1179</v>
      </c>
      <c r="F347" s="552">
        <v>406</v>
      </c>
      <c r="G347" s="436">
        <v>0.1</v>
      </c>
      <c r="H347" s="539">
        <f t="shared" ref="H347:H350" si="120">F347*(1+G347)</f>
        <v>446.6</v>
      </c>
      <c r="I347" s="540" t="s">
        <v>15</v>
      </c>
      <c r="J347" s="556">
        <v>0</v>
      </c>
      <c r="K347" s="554">
        <f t="shared" ref="K347:K350" si="121">J347*H347</f>
        <v>0</v>
      </c>
      <c r="L347" s="120"/>
      <c r="M347" s="558"/>
    </row>
    <row r="348" spans="1:13" s="187" customFormat="1" x14ac:dyDescent="0.2">
      <c r="A348" s="111">
        <f>IF(F348&lt;&gt;"",1+MAX($A$6:A347),"")</f>
        <v>278</v>
      </c>
      <c r="B348" s="533" t="s">
        <v>1177</v>
      </c>
      <c r="C348" s="534" t="s">
        <v>1026</v>
      </c>
      <c r="D348" s="567"/>
      <c r="E348" s="555" t="s">
        <v>1180</v>
      </c>
      <c r="F348" s="552">
        <v>8977</v>
      </c>
      <c r="G348" s="436">
        <v>0.1</v>
      </c>
      <c r="H348" s="539">
        <f t="shared" si="120"/>
        <v>9874.7000000000007</v>
      </c>
      <c r="I348" s="540" t="s">
        <v>18</v>
      </c>
      <c r="J348" s="556">
        <v>0</v>
      </c>
      <c r="K348" s="554">
        <f t="shared" si="121"/>
        <v>0</v>
      </c>
      <c r="L348" s="120"/>
      <c r="M348" s="558"/>
    </row>
    <row r="349" spans="1:13" s="187" customFormat="1" x14ac:dyDescent="0.2">
      <c r="A349" s="111">
        <f>IF(F349&lt;&gt;"",1+MAX($A$6:A348),"")</f>
        <v>279</v>
      </c>
      <c r="B349" s="533" t="s">
        <v>1177</v>
      </c>
      <c r="C349" s="534" t="s">
        <v>1026</v>
      </c>
      <c r="D349" s="567"/>
      <c r="E349" s="555" t="s">
        <v>1158</v>
      </c>
      <c r="F349" s="552">
        <f>0.16*F348</f>
        <v>1436.32</v>
      </c>
      <c r="G349" s="436">
        <v>0.1</v>
      </c>
      <c r="H349" s="539">
        <f t="shared" si="120"/>
        <v>1579.952</v>
      </c>
      <c r="I349" s="540" t="s">
        <v>15</v>
      </c>
      <c r="J349" s="553">
        <f>$J$321</f>
        <v>0</v>
      </c>
      <c r="K349" s="554">
        <f t="shared" si="121"/>
        <v>0</v>
      </c>
      <c r="L349" s="120"/>
      <c r="M349" s="558"/>
    </row>
    <row r="350" spans="1:13" s="187" customFormat="1" x14ac:dyDescent="0.2">
      <c r="A350" s="111">
        <f>IF(F350&lt;&gt;"",1+MAX($A$6:A349),"")</f>
        <v>280</v>
      </c>
      <c r="B350" s="533" t="s">
        <v>1177</v>
      </c>
      <c r="C350" s="534" t="s">
        <v>1026</v>
      </c>
      <c r="D350" s="122"/>
      <c r="E350" s="555" t="s">
        <v>1181</v>
      </c>
      <c r="F350" s="552">
        <f>1.5*1.2*2*2*F346/1.5</f>
        <v>43089.599999999999</v>
      </c>
      <c r="G350" s="436">
        <v>0.1</v>
      </c>
      <c r="H350" s="539">
        <f t="shared" si="120"/>
        <v>47398.560000000005</v>
      </c>
      <c r="I350" s="540" t="s">
        <v>427</v>
      </c>
      <c r="J350" s="553">
        <f>$J$15</f>
        <v>0</v>
      </c>
      <c r="K350" s="554">
        <f t="shared" si="121"/>
        <v>0</v>
      </c>
      <c r="L350" s="120"/>
      <c r="M350" s="558"/>
    </row>
    <row r="351" spans="1:13" s="187" customFormat="1" x14ac:dyDescent="0.2">
      <c r="A351" s="111" t="str">
        <f>IF(F351&lt;&gt;"",1+MAX($A$6:A350),"")</f>
        <v/>
      </c>
      <c r="B351" s="533"/>
      <c r="C351" s="534"/>
      <c r="D351" s="567"/>
      <c r="E351" s="563" t="s">
        <v>1182</v>
      </c>
      <c r="F351" s="552"/>
      <c r="G351" s="436"/>
      <c r="H351" s="539"/>
      <c r="I351" s="540"/>
      <c r="J351" s="553"/>
      <c r="K351" s="554"/>
      <c r="L351" s="120"/>
      <c r="M351" s="558"/>
    </row>
    <row r="352" spans="1:13" s="187" customFormat="1" x14ac:dyDescent="0.2">
      <c r="A352" s="111">
        <f>IF(F352&lt;&gt;"",1+MAX($A$6:A351),"")</f>
        <v>281</v>
      </c>
      <c r="B352" s="533" t="s">
        <v>1177</v>
      </c>
      <c r="C352" s="534" t="s">
        <v>1026</v>
      </c>
      <c r="D352" s="566">
        <f>H352/27*0.83</f>
        <v>67.08859259259259</v>
      </c>
      <c r="E352" s="555" t="s">
        <v>1178</v>
      </c>
      <c r="F352" s="552">
        <v>1984</v>
      </c>
      <c r="G352" s="436">
        <v>0.1</v>
      </c>
      <c r="H352" s="539">
        <f>F352*(1+G352)</f>
        <v>2182.4</v>
      </c>
      <c r="I352" s="540" t="s">
        <v>18</v>
      </c>
      <c r="J352" s="556">
        <v>0</v>
      </c>
      <c r="K352" s="554">
        <f>J352*H352</f>
        <v>0</v>
      </c>
      <c r="L352" s="120"/>
      <c r="M352" s="558"/>
    </row>
    <row r="353" spans="1:15" s="187" customFormat="1" x14ac:dyDescent="0.2">
      <c r="A353" s="111">
        <f>IF(F353&lt;&gt;"",1+MAX($A$6:A352),"")</f>
        <v>282</v>
      </c>
      <c r="B353" s="533" t="s">
        <v>1177</v>
      </c>
      <c r="C353" s="534" t="s">
        <v>1026</v>
      </c>
      <c r="D353" s="567"/>
      <c r="E353" s="555" t="s">
        <v>1179</v>
      </c>
      <c r="F353" s="552">
        <v>230</v>
      </c>
      <c r="G353" s="436">
        <v>0.1</v>
      </c>
      <c r="H353" s="539">
        <f t="shared" ref="H353:H356" si="122">F353*(1+G353)</f>
        <v>253.00000000000003</v>
      </c>
      <c r="I353" s="540" t="s">
        <v>15</v>
      </c>
      <c r="J353" s="553">
        <f>$J$347</f>
        <v>0</v>
      </c>
      <c r="K353" s="554">
        <f t="shared" ref="K353:K356" si="123">J353*H353</f>
        <v>0</v>
      </c>
      <c r="L353" s="120"/>
      <c r="M353" s="558"/>
    </row>
    <row r="354" spans="1:15" s="187" customFormat="1" x14ac:dyDescent="0.2">
      <c r="A354" s="111">
        <f>IF(F354&lt;&gt;"",1+MAX($A$6:A353),"")</f>
        <v>283</v>
      </c>
      <c r="B354" s="533" t="s">
        <v>1177</v>
      </c>
      <c r="C354" s="534" t="s">
        <v>1026</v>
      </c>
      <c r="D354" s="567"/>
      <c r="E354" s="555" t="s">
        <v>1180</v>
      </c>
      <c r="F354" s="552">
        <f>1984</f>
        <v>1984</v>
      </c>
      <c r="G354" s="436">
        <v>0.1</v>
      </c>
      <c r="H354" s="539">
        <f t="shared" si="122"/>
        <v>2182.4</v>
      </c>
      <c r="I354" s="540" t="s">
        <v>18</v>
      </c>
      <c r="J354" s="553">
        <f>$J$348</f>
        <v>0</v>
      </c>
      <c r="K354" s="554">
        <f t="shared" si="123"/>
        <v>0</v>
      </c>
      <c r="L354" s="120"/>
      <c r="M354" s="558"/>
    </row>
    <row r="355" spans="1:15" s="187" customFormat="1" x14ac:dyDescent="0.2">
      <c r="A355" s="111">
        <f>IF(F355&lt;&gt;"",1+MAX($A$6:A354),"")</f>
        <v>284</v>
      </c>
      <c r="B355" s="533" t="s">
        <v>1177</v>
      </c>
      <c r="C355" s="534" t="s">
        <v>1026</v>
      </c>
      <c r="D355" s="567"/>
      <c r="E355" s="555" t="s">
        <v>1158</v>
      </c>
      <c r="F355" s="552">
        <f>0.16*F354</f>
        <v>317.44</v>
      </c>
      <c r="G355" s="436">
        <v>0.1</v>
      </c>
      <c r="H355" s="539">
        <f t="shared" si="122"/>
        <v>349.18400000000003</v>
      </c>
      <c r="I355" s="540" t="s">
        <v>15</v>
      </c>
      <c r="J355" s="553">
        <f>$J$321</f>
        <v>0</v>
      </c>
      <c r="K355" s="554">
        <f t="shared" si="123"/>
        <v>0</v>
      </c>
      <c r="L355" s="120"/>
      <c r="M355" s="558"/>
    </row>
    <row r="356" spans="1:15" s="187" customFormat="1" x14ac:dyDescent="0.2">
      <c r="A356" s="111">
        <f>IF(F356&lt;&gt;"",1+MAX($A$6:A355),"")</f>
        <v>285</v>
      </c>
      <c r="B356" s="533" t="s">
        <v>1177</v>
      </c>
      <c r="C356" s="534" t="s">
        <v>1026</v>
      </c>
      <c r="D356" s="122"/>
      <c r="E356" s="555" t="s">
        <v>1183</v>
      </c>
      <c r="F356" s="552">
        <f>1.5*1.2*2*F352/1.33+1.043*1.2*2*F352/1.33</f>
        <v>9104.3224060150369</v>
      </c>
      <c r="G356" s="436">
        <v>0.1</v>
      </c>
      <c r="H356" s="539">
        <f t="shared" si="122"/>
        <v>10014.754646616542</v>
      </c>
      <c r="I356" s="540" t="s">
        <v>427</v>
      </c>
      <c r="J356" s="553">
        <f>$J$15</f>
        <v>0</v>
      </c>
      <c r="K356" s="554">
        <f t="shared" si="123"/>
        <v>0</v>
      </c>
      <c r="L356" s="120"/>
      <c r="M356" s="558"/>
    </row>
    <row r="357" spans="1:15" s="187" customFormat="1" x14ac:dyDescent="0.2">
      <c r="A357" s="111" t="str">
        <f>IF(F357&lt;&gt;"",1+MAX($A$6:A356),"")</f>
        <v/>
      </c>
      <c r="B357" s="533"/>
      <c r="C357" s="534"/>
      <c r="D357" s="567"/>
      <c r="E357" s="563" t="s">
        <v>1184</v>
      </c>
      <c r="F357" s="552"/>
      <c r="G357" s="436"/>
      <c r="H357" s="539"/>
      <c r="I357" s="540"/>
      <c r="J357" s="553"/>
      <c r="K357" s="554"/>
      <c r="L357" s="120"/>
      <c r="M357" s="558"/>
    </row>
    <row r="358" spans="1:15" s="187" customFormat="1" x14ac:dyDescent="0.2">
      <c r="A358" s="111">
        <f>IF(F358&lt;&gt;"",1+MAX($A$6:A357),"")</f>
        <v>286</v>
      </c>
      <c r="B358" s="533" t="s">
        <v>1177</v>
      </c>
      <c r="C358" s="534" t="s">
        <v>1026</v>
      </c>
      <c r="D358" s="566">
        <f>H358/27*1.5</f>
        <v>37.216666666666669</v>
      </c>
      <c r="E358" s="555" t="s">
        <v>1185</v>
      </c>
      <c r="F358" s="552">
        <v>609</v>
      </c>
      <c r="G358" s="436">
        <v>0.1</v>
      </c>
      <c r="H358" s="539">
        <f>F358*(1+G358)</f>
        <v>669.90000000000009</v>
      </c>
      <c r="I358" s="540" t="s">
        <v>18</v>
      </c>
      <c r="J358" s="556">
        <v>0</v>
      </c>
      <c r="K358" s="554">
        <f>J358*H358</f>
        <v>0</v>
      </c>
      <c r="L358" s="120"/>
      <c r="M358" s="558"/>
    </row>
    <row r="359" spans="1:15" s="187" customFormat="1" x14ac:dyDescent="0.2">
      <c r="A359" s="111">
        <f>IF(F359&lt;&gt;"",1+MAX($A$6:A358),"")</f>
        <v>287</v>
      </c>
      <c r="B359" s="533" t="s">
        <v>1177</v>
      </c>
      <c r="C359" s="534" t="s">
        <v>1026</v>
      </c>
      <c r="D359" s="567"/>
      <c r="E359" s="555" t="s">
        <v>1186</v>
      </c>
      <c r="F359" s="552">
        <v>109</v>
      </c>
      <c r="G359" s="436">
        <v>0.1</v>
      </c>
      <c r="H359" s="539">
        <f t="shared" ref="H359:H362" si="124">F359*(1+G359)</f>
        <v>119.9</v>
      </c>
      <c r="I359" s="540" t="s">
        <v>15</v>
      </c>
      <c r="J359" s="556">
        <v>0</v>
      </c>
      <c r="K359" s="554">
        <f t="shared" ref="K359:K362" si="125">J359*H359</f>
        <v>0</v>
      </c>
      <c r="L359" s="120"/>
      <c r="M359" s="558"/>
      <c r="N359" s="568"/>
      <c r="O359" s="568"/>
    </row>
    <row r="360" spans="1:15" s="187" customFormat="1" x14ac:dyDescent="0.2">
      <c r="A360" s="111">
        <f>IF(F360&lt;&gt;"",1+MAX($A$6:A359),"")</f>
        <v>288</v>
      </c>
      <c r="B360" s="533" t="s">
        <v>1177</v>
      </c>
      <c r="C360" s="534" t="s">
        <v>1026</v>
      </c>
      <c r="D360" s="567"/>
      <c r="E360" s="555" t="s">
        <v>1180</v>
      </c>
      <c r="F360" s="552">
        <v>609</v>
      </c>
      <c r="G360" s="436">
        <v>0.1</v>
      </c>
      <c r="H360" s="539">
        <f t="shared" si="124"/>
        <v>669.90000000000009</v>
      </c>
      <c r="I360" s="540" t="s">
        <v>18</v>
      </c>
      <c r="J360" s="553">
        <f>$J$348</f>
        <v>0</v>
      </c>
      <c r="K360" s="554">
        <f t="shared" si="125"/>
        <v>0</v>
      </c>
      <c r="L360" s="120"/>
      <c r="M360" s="558"/>
    </row>
    <row r="361" spans="1:15" s="187" customFormat="1" x14ac:dyDescent="0.2">
      <c r="A361" s="111">
        <f>IF(F361&lt;&gt;"",1+MAX($A$6:A360),"")</f>
        <v>289</v>
      </c>
      <c r="B361" s="533" t="s">
        <v>1177</v>
      </c>
      <c r="C361" s="534" t="s">
        <v>1026</v>
      </c>
      <c r="D361" s="567"/>
      <c r="E361" s="555" t="s">
        <v>1158</v>
      </c>
      <c r="F361" s="552">
        <f>0.16*F360</f>
        <v>97.44</v>
      </c>
      <c r="G361" s="436">
        <v>0.1</v>
      </c>
      <c r="H361" s="539">
        <f t="shared" si="124"/>
        <v>107.18400000000001</v>
      </c>
      <c r="I361" s="540" t="s">
        <v>15</v>
      </c>
      <c r="J361" s="553">
        <f>$J$321</f>
        <v>0</v>
      </c>
      <c r="K361" s="554">
        <f t="shared" si="125"/>
        <v>0</v>
      </c>
      <c r="L361" s="120"/>
      <c r="M361" s="558"/>
    </row>
    <row r="362" spans="1:15" s="187" customFormat="1" x14ac:dyDescent="0.2">
      <c r="A362" s="111">
        <f>IF(F362&lt;&gt;"",1+MAX($A$6:A361),"")</f>
        <v>290</v>
      </c>
      <c r="B362" s="533" t="s">
        <v>1177</v>
      </c>
      <c r="C362" s="562" t="s">
        <v>437</v>
      </c>
      <c r="D362" s="122"/>
      <c r="E362" s="555" t="s">
        <v>1181</v>
      </c>
      <c r="F362" s="552">
        <f>1.5*1.2*2*2*F358/1.5</f>
        <v>2923.1999999999994</v>
      </c>
      <c r="G362" s="436">
        <v>0.1</v>
      </c>
      <c r="H362" s="539">
        <f t="shared" si="124"/>
        <v>3215.5199999999995</v>
      </c>
      <c r="I362" s="540" t="s">
        <v>427</v>
      </c>
      <c r="J362" s="553">
        <f>$J$15</f>
        <v>0</v>
      </c>
      <c r="K362" s="554">
        <f t="shared" si="125"/>
        <v>0</v>
      </c>
      <c r="L362" s="120"/>
      <c r="M362" s="558"/>
    </row>
    <row r="363" spans="1:15" s="187" customFormat="1" x14ac:dyDescent="0.2">
      <c r="A363" s="111" t="str">
        <f>IF(F363&lt;&gt;"",1+MAX($A$6:A362),"")</f>
        <v/>
      </c>
      <c r="B363" s="533"/>
      <c r="C363" s="534"/>
      <c r="D363" s="567"/>
      <c r="E363" s="563" t="s">
        <v>1187</v>
      </c>
      <c r="F363" s="552"/>
      <c r="G363" s="436"/>
      <c r="H363" s="539"/>
      <c r="I363" s="540"/>
      <c r="J363" s="553"/>
      <c r="K363" s="554"/>
      <c r="L363" s="120"/>
      <c r="M363" s="558"/>
    </row>
    <row r="364" spans="1:15" s="187" customFormat="1" x14ac:dyDescent="0.2">
      <c r="A364" s="111">
        <f>IF(F364&lt;&gt;"",1+MAX($A$6:A363),"")</f>
        <v>291</v>
      </c>
      <c r="B364" s="533" t="s">
        <v>1177</v>
      </c>
      <c r="C364" s="534" t="s">
        <v>1026</v>
      </c>
      <c r="D364" s="566">
        <f>H364/27</f>
        <v>628.95555555555563</v>
      </c>
      <c r="E364" s="555" t="s">
        <v>1188</v>
      </c>
      <c r="F364" s="552">
        <v>15438</v>
      </c>
      <c r="G364" s="436">
        <v>0.1</v>
      </c>
      <c r="H364" s="539">
        <f>F364*(1+G364)</f>
        <v>16981.800000000003</v>
      </c>
      <c r="I364" s="540" t="s">
        <v>18</v>
      </c>
      <c r="J364" s="556">
        <v>0</v>
      </c>
      <c r="K364" s="554">
        <f>J364*H364</f>
        <v>0</v>
      </c>
      <c r="L364" s="120"/>
      <c r="M364" s="558"/>
    </row>
    <row r="365" spans="1:15" s="187" customFormat="1" x14ac:dyDescent="0.2">
      <c r="A365" s="111">
        <f>IF(F365&lt;&gt;"",1+MAX($A$6:A364),"")</f>
        <v>292</v>
      </c>
      <c r="B365" s="533" t="s">
        <v>1177</v>
      </c>
      <c r="C365" s="534" t="s">
        <v>1026</v>
      </c>
      <c r="D365" s="122"/>
      <c r="E365" s="555" t="s">
        <v>1189</v>
      </c>
      <c r="F365" s="552">
        <v>517</v>
      </c>
      <c r="G365" s="436">
        <v>0.1</v>
      </c>
      <c r="H365" s="539">
        <f t="shared" ref="H365:H402" si="126">F365*(1+G365)</f>
        <v>568.70000000000005</v>
      </c>
      <c r="I365" s="540" t="s">
        <v>15</v>
      </c>
      <c r="J365" s="553">
        <f>$J$347</f>
        <v>0</v>
      </c>
      <c r="K365" s="554">
        <f t="shared" ref="K365:K402" si="127">J365*H365</f>
        <v>0</v>
      </c>
      <c r="L365" s="120"/>
      <c r="M365" s="558"/>
    </row>
    <row r="366" spans="1:15" s="187" customFormat="1" x14ac:dyDescent="0.2">
      <c r="A366" s="111">
        <f>IF(F366&lt;&gt;"",1+MAX($A$6:A365),"")</f>
        <v>293</v>
      </c>
      <c r="B366" s="533" t="s">
        <v>1177</v>
      </c>
      <c r="C366" s="534" t="s">
        <v>1026</v>
      </c>
      <c r="D366" s="122"/>
      <c r="E366" s="555" t="s">
        <v>1180</v>
      </c>
      <c r="F366" s="552">
        <f>15438</f>
        <v>15438</v>
      </c>
      <c r="G366" s="436">
        <v>0.1</v>
      </c>
      <c r="H366" s="539">
        <f t="shared" si="126"/>
        <v>16981.800000000003</v>
      </c>
      <c r="I366" s="540" t="s">
        <v>18</v>
      </c>
      <c r="J366" s="553">
        <f>$J$348</f>
        <v>0</v>
      </c>
      <c r="K366" s="554">
        <f t="shared" si="127"/>
        <v>0</v>
      </c>
      <c r="L366" s="120"/>
      <c r="M366" s="558"/>
    </row>
    <row r="367" spans="1:15" s="187" customFormat="1" x14ac:dyDescent="0.2">
      <c r="A367" s="111">
        <f>IF(F367&lt;&gt;"",1+MAX($A$6:A366),"")</f>
        <v>294</v>
      </c>
      <c r="B367" s="533" t="s">
        <v>1177</v>
      </c>
      <c r="C367" s="534" t="s">
        <v>1026</v>
      </c>
      <c r="D367" s="122"/>
      <c r="E367" s="555" t="s">
        <v>1158</v>
      </c>
      <c r="F367" s="552">
        <f>0.16*F366</f>
        <v>2470.08</v>
      </c>
      <c r="G367" s="436">
        <v>0.1</v>
      </c>
      <c r="H367" s="539">
        <f t="shared" si="126"/>
        <v>2717.0880000000002</v>
      </c>
      <c r="I367" s="540" t="s">
        <v>15</v>
      </c>
      <c r="J367" s="553">
        <f>$J$321</f>
        <v>0</v>
      </c>
      <c r="K367" s="554">
        <f t="shared" si="127"/>
        <v>0</v>
      </c>
      <c r="L367" s="120"/>
      <c r="M367" s="558"/>
    </row>
    <row r="368" spans="1:15" s="187" customFormat="1" x14ac:dyDescent="0.2">
      <c r="A368" s="111">
        <f>IF(F368&lt;&gt;"",1+MAX($A$6:A367),"")</f>
        <v>295</v>
      </c>
      <c r="B368" s="533" t="s">
        <v>1177</v>
      </c>
      <c r="C368" s="534" t="s">
        <v>1026</v>
      </c>
      <c r="D368" s="122"/>
      <c r="E368" s="555" t="s">
        <v>1181</v>
      </c>
      <c r="F368" s="552">
        <f>1.5*1.2*2*2*F364/1.5</f>
        <v>74102.399999999994</v>
      </c>
      <c r="G368" s="436">
        <v>0.1</v>
      </c>
      <c r="H368" s="539">
        <f t="shared" si="126"/>
        <v>81512.639999999999</v>
      </c>
      <c r="I368" s="540" t="s">
        <v>427</v>
      </c>
      <c r="J368" s="553">
        <f t="shared" ref="J368:J369" si="128">$J$15</f>
        <v>0</v>
      </c>
      <c r="K368" s="554">
        <f t="shared" si="127"/>
        <v>0</v>
      </c>
      <c r="L368" s="120"/>
      <c r="M368" s="558"/>
    </row>
    <row r="369" spans="1:13" s="187" customFormat="1" x14ac:dyDescent="0.2">
      <c r="A369" s="111">
        <f>IF(F369&lt;&gt;"",1+MAX($A$6:A368),"")</f>
        <v>296</v>
      </c>
      <c r="B369" s="533" t="s">
        <v>1177</v>
      </c>
      <c r="C369" s="534" t="s">
        <v>1190</v>
      </c>
      <c r="D369" s="122"/>
      <c r="E369" s="555" t="s">
        <v>1191</v>
      </c>
      <c r="F369" s="552">
        <f>68/1.5*1.5*0.376*1.2</f>
        <v>30.6816</v>
      </c>
      <c r="G369" s="436">
        <v>0.1</v>
      </c>
      <c r="H369" s="539">
        <f t="shared" si="126"/>
        <v>33.749760000000002</v>
      </c>
      <c r="I369" s="540" t="s">
        <v>427</v>
      </c>
      <c r="J369" s="553">
        <f t="shared" si="128"/>
        <v>0</v>
      </c>
      <c r="K369" s="554">
        <f t="shared" si="127"/>
        <v>0</v>
      </c>
      <c r="L369" s="120"/>
      <c r="M369" s="558"/>
    </row>
    <row r="370" spans="1:13" s="187" customFormat="1" ht="16.5" thickBot="1" x14ac:dyDescent="0.25">
      <c r="A370" s="111" t="str">
        <f>IF(F370&lt;&gt;"",1+MAX($A$6:A369),"")</f>
        <v/>
      </c>
      <c r="B370" s="533"/>
      <c r="C370" s="534"/>
      <c r="D370" s="122"/>
      <c r="E370" s="559"/>
      <c r="F370" s="560"/>
      <c r="G370" s="436"/>
      <c r="H370" s="539"/>
      <c r="I370" s="540"/>
      <c r="J370" s="553"/>
      <c r="K370" s="554"/>
      <c r="L370" s="120"/>
      <c r="M370" s="558"/>
    </row>
    <row r="371" spans="1:13" s="187" customFormat="1" ht="16.5" thickBot="1" x14ac:dyDescent="0.25">
      <c r="A371" s="111" t="str">
        <f>IF(F371&lt;&gt;"",1+MAX($A$6:A370),"")</f>
        <v/>
      </c>
      <c r="B371" s="533"/>
      <c r="C371" s="542"/>
      <c r="D371" s="543"/>
      <c r="E371" s="561" t="s">
        <v>1192</v>
      </c>
      <c r="F371" s="537"/>
      <c r="G371" s="546"/>
      <c r="H371" s="547"/>
      <c r="I371" s="548"/>
      <c r="J371" s="226"/>
      <c r="K371" s="549"/>
      <c r="L371" s="120"/>
    </row>
    <row r="372" spans="1:13" s="187" customFormat="1" ht="31.5" x14ac:dyDescent="0.2">
      <c r="A372" s="111">
        <f>IF(F372&lt;&gt;"",1+MAX($A$6:A371),"")</f>
        <v>297</v>
      </c>
      <c r="B372" s="533" t="s">
        <v>1193</v>
      </c>
      <c r="C372" s="534" t="s">
        <v>1026</v>
      </c>
      <c r="D372" s="122"/>
      <c r="E372" s="555" t="s">
        <v>1194</v>
      </c>
      <c r="F372" s="552">
        <v>27610</v>
      </c>
      <c r="G372" s="436">
        <v>0.1</v>
      </c>
      <c r="H372" s="539">
        <f t="shared" ref="H372:H375" si="129">F372*(1+G372)</f>
        <v>30371.000000000004</v>
      </c>
      <c r="I372" s="540" t="s">
        <v>427</v>
      </c>
      <c r="J372" s="553">
        <f t="shared" ref="J372:J375" si="130">$J$15</f>
        <v>0</v>
      </c>
      <c r="K372" s="554">
        <f t="shared" ref="K372:K375" si="131">J372*H372</f>
        <v>0</v>
      </c>
      <c r="L372" s="120"/>
      <c r="M372" s="558"/>
    </row>
    <row r="373" spans="1:13" s="187" customFormat="1" x14ac:dyDescent="0.2">
      <c r="A373" s="111">
        <f>IF(F373&lt;&gt;"",1+MAX($A$6:A372),"")</f>
        <v>298</v>
      </c>
      <c r="B373" s="533" t="str">
        <f>B372</f>
        <v>S3.1-2</v>
      </c>
      <c r="C373" s="534" t="s">
        <v>1195</v>
      </c>
      <c r="D373" s="122"/>
      <c r="E373" s="555" t="s">
        <v>1196</v>
      </c>
      <c r="F373" s="552">
        <f>715*2*1.5*1.2*2</f>
        <v>5148</v>
      </c>
      <c r="G373" s="436">
        <v>0.1</v>
      </c>
      <c r="H373" s="539">
        <f t="shared" si="129"/>
        <v>5662.8</v>
      </c>
      <c r="I373" s="540" t="s">
        <v>427</v>
      </c>
      <c r="J373" s="553">
        <f t="shared" si="130"/>
        <v>0</v>
      </c>
      <c r="K373" s="554">
        <f t="shared" si="131"/>
        <v>0</v>
      </c>
      <c r="L373" s="120"/>
      <c r="M373" s="558"/>
    </row>
    <row r="374" spans="1:13" s="187" customFormat="1" x14ac:dyDescent="0.2">
      <c r="A374" s="111">
        <f>IF(F374&lt;&gt;"",1+MAX($A$6:A373),"")</f>
        <v>299</v>
      </c>
      <c r="B374" s="533" t="str">
        <f>B373</f>
        <v>S3.1-2</v>
      </c>
      <c r="C374" s="534" t="s">
        <v>1195</v>
      </c>
      <c r="D374" s="122"/>
      <c r="E374" s="555" t="s">
        <v>1197</v>
      </c>
      <c r="F374" s="552">
        <f>715/0.75*2.2*0.376*1.2</f>
        <v>946.31680000000006</v>
      </c>
      <c r="G374" s="436">
        <v>0.1</v>
      </c>
      <c r="H374" s="539">
        <f t="shared" si="129"/>
        <v>1040.9484800000002</v>
      </c>
      <c r="I374" s="540" t="s">
        <v>427</v>
      </c>
      <c r="J374" s="553">
        <f t="shared" si="130"/>
        <v>0</v>
      </c>
      <c r="K374" s="554">
        <f t="shared" si="131"/>
        <v>0</v>
      </c>
      <c r="L374" s="120"/>
      <c r="M374" s="558"/>
    </row>
    <row r="375" spans="1:13" s="187" customFormat="1" x14ac:dyDescent="0.2">
      <c r="A375" s="111">
        <f>IF(F375&lt;&gt;"",1+MAX($A$6:A374),"")</f>
        <v>300</v>
      </c>
      <c r="B375" s="533" t="str">
        <f>B374</f>
        <v>S3.1-2</v>
      </c>
      <c r="C375" s="534" t="s">
        <v>1198</v>
      </c>
      <c r="D375" s="122"/>
      <c r="E375" s="555" t="s">
        <v>1199</v>
      </c>
      <c r="F375" s="552">
        <f>612/1.33*3.5*0.668*1.2</f>
        <v>1290.997894736842</v>
      </c>
      <c r="G375" s="436">
        <v>0.1</v>
      </c>
      <c r="H375" s="539">
        <f t="shared" si="129"/>
        <v>1420.0976842105263</v>
      </c>
      <c r="I375" s="540" t="s">
        <v>427</v>
      </c>
      <c r="J375" s="553">
        <f t="shared" si="130"/>
        <v>0</v>
      </c>
      <c r="K375" s="554">
        <f t="shared" si="131"/>
        <v>0</v>
      </c>
      <c r="L375" s="120"/>
      <c r="M375" s="558"/>
    </row>
    <row r="376" spans="1:13" s="187" customFormat="1" ht="16.5" thickBot="1" x14ac:dyDescent="0.25">
      <c r="A376" s="111" t="str">
        <f>IF(F376&lt;&gt;"",1+MAX($A$6:A375),"")</f>
        <v/>
      </c>
      <c r="B376" s="533"/>
      <c r="C376" s="534"/>
      <c r="D376" s="122"/>
      <c r="E376" s="559"/>
      <c r="F376" s="560"/>
      <c r="G376" s="436"/>
      <c r="H376" s="539"/>
      <c r="I376" s="540"/>
      <c r="J376" s="553"/>
      <c r="K376" s="554"/>
      <c r="L376" s="120"/>
      <c r="M376" s="558"/>
    </row>
    <row r="377" spans="1:13" s="187" customFormat="1" ht="16.5" thickBot="1" x14ac:dyDescent="0.25">
      <c r="A377" s="111" t="str">
        <f>IF(F377&lt;&gt;"",1+MAX($A$6:A376),"")</f>
        <v/>
      </c>
      <c r="B377" s="533"/>
      <c r="C377" s="542"/>
      <c r="D377" s="543"/>
      <c r="E377" s="561" t="s">
        <v>1200</v>
      </c>
      <c r="F377" s="537"/>
      <c r="G377" s="546"/>
      <c r="H377" s="547"/>
      <c r="I377" s="548"/>
      <c r="J377" s="226"/>
      <c r="K377" s="549"/>
      <c r="L377" s="120"/>
    </row>
    <row r="378" spans="1:13" s="187" customFormat="1" x14ac:dyDescent="0.2">
      <c r="A378" s="111">
        <f>IF(F378&lt;&gt;"",1+MAX($A$6:A377),"")</f>
        <v>301</v>
      </c>
      <c r="B378" s="533" t="s">
        <v>1177</v>
      </c>
      <c r="C378" s="534" t="s">
        <v>1201</v>
      </c>
      <c r="D378" s="122"/>
      <c r="E378" s="555" t="s">
        <v>1027</v>
      </c>
      <c r="F378" s="552">
        <f>1878*0.83/27+95*1/27</f>
        <v>61.249629629629631</v>
      </c>
      <c r="G378" s="436">
        <v>0.1</v>
      </c>
      <c r="H378" s="539">
        <f>F378*(1+G378)</f>
        <v>67.374592592592606</v>
      </c>
      <c r="I378" s="540" t="s">
        <v>1028</v>
      </c>
      <c r="J378" s="553">
        <f>$J$11</f>
        <v>0</v>
      </c>
      <c r="K378" s="554">
        <f>J378*H378</f>
        <v>0</v>
      </c>
      <c r="L378" s="120"/>
      <c r="M378" s="558"/>
    </row>
    <row r="379" spans="1:13" s="187" customFormat="1" x14ac:dyDescent="0.2">
      <c r="A379" s="111">
        <f>IF(F379&lt;&gt;"",1+MAX($A$6:A378),"")</f>
        <v>302</v>
      </c>
      <c r="B379" s="533" t="s">
        <v>1177</v>
      </c>
      <c r="C379" s="534" t="s">
        <v>1201</v>
      </c>
      <c r="D379" s="122"/>
      <c r="E379" s="555" t="s">
        <v>1202</v>
      </c>
      <c r="F379" s="552">
        <f>813*0.83+40</f>
        <v>714.79</v>
      </c>
      <c r="G379" s="436">
        <v>0.1</v>
      </c>
      <c r="H379" s="539">
        <f t="shared" ref="H379:H380" si="132">F379*(1+G379)</f>
        <v>786.26900000000001</v>
      </c>
      <c r="I379" s="540" t="s">
        <v>1030</v>
      </c>
      <c r="J379" s="553">
        <f>J$340</f>
        <v>0</v>
      </c>
      <c r="K379" s="554">
        <f t="shared" ref="K379:K380" si="133">J379*H379</f>
        <v>0</v>
      </c>
      <c r="L379" s="120"/>
      <c r="M379" s="558"/>
    </row>
    <row r="380" spans="1:13" s="187" customFormat="1" x14ac:dyDescent="0.2">
      <c r="A380" s="111">
        <f>IF(F380&lt;&gt;"",1+MAX($A$6:A379),"")</f>
        <v>303</v>
      </c>
      <c r="B380" s="533" t="s">
        <v>1177</v>
      </c>
      <c r="C380" s="534" t="s">
        <v>1201</v>
      </c>
      <c r="D380" s="122"/>
      <c r="E380" s="555" t="s">
        <v>1203</v>
      </c>
      <c r="F380" s="552">
        <f>1.043*1.2*2*1.13*(1878+95)</f>
        <v>5580.8593679999985</v>
      </c>
      <c r="G380" s="436">
        <v>0.1</v>
      </c>
      <c r="H380" s="539">
        <f t="shared" si="132"/>
        <v>6138.9453047999987</v>
      </c>
      <c r="I380" s="540" t="s">
        <v>427</v>
      </c>
      <c r="J380" s="553">
        <f>$J$15</f>
        <v>0</v>
      </c>
      <c r="K380" s="554">
        <f t="shared" si="133"/>
        <v>0</v>
      </c>
      <c r="L380" s="120"/>
      <c r="M380" s="558"/>
    </row>
    <row r="381" spans="1:13" s="187" customFormat="1" ht="16.5" thickBot="1" x14ac:dyDescent="0.25">
      <c r="A381" s="111" t="str">
        <f>IF(F381&lt;&gt;"",1+MAX($A$6:A380),"")</f>
        <v/>
      </c>
      <c r="B381" s="533"/>
      <c r="C381" s="534"/>
      <c r="D381" s="122"/>
      <c r="E381" s="559"/>
      <c r="F381" s="560"/>
      <c r="G381" s="436"/>
      <c r="H381" s="539"/>
      <c r="I381" s="540"/>
      <c r="J381" s="553"/>
      <c r="K381" s="554"/>
      <c r="L381" s="120"/>
      <c r="M381" s="558"/>
    </row>
    <row r="382" spans="1:13" s="187" customFormat="1" ht="16.5" thickBot="1" x14ac:dyDescent="0.25">
      <c r="A382" s="111" t="str">
        <f>IF(F382&lt;&gt;"",1+MAX($A$6:A381),"")</f>
        <v/>
      </c>
      <c r="B382" s="533"/>
      <c r="C382" s="542"/>
      <c r="D382" s="543"/>
      <c r="E382" s="561" t="s">
        <v>1204</v>
      </c>
      <c r="F382" s="537"/>
      <c r="G382" s="546"/>
      <c r="H382" s="547"/>
      <c r="I382" s="548"/>
      <c r="J382" s="226"/>
      <c r="K382" s="549"/>
      <c r="L382" s="120"/>
    </row>
    <row r="383" spans="1:13" s="187" customFormat="1" ht="63" x14ac:dyDescent="0.2">
      <c r="A383" s="111" t="str">
        <f>IF(F383&lt;&gt;"",1+MAX($A$6:A382),"")</f>
        <v/>
      </c>
      <c r="B383" s="533"/>
      <c r="C383" s="534"/>
      <c r="D383" s="122"/>
      <c r="E383" s="563" t="s">
        <v>1205</v>
      </c>
      <c r="F383" s="552"/>
      <c r="G383" s="436"/>
      <c r="H383" s="539"/>
      <c r="I383" s="540"/>
      <c r="J383" s="553"/>
      <c r="K383" s="554"/>
      <c r="L383" s="120"/>
      <c r="M383" s="558"/>
    </row>
    <row r="384" spans="1:13" s="187" customFormat="1" x14ac:dyDescent="0.2">
      <c r="A384" s="111">
        <f>IF(F384&lt;&gt;"",1+MAX($A$6:A383),"")</f>
        <v>304</v>
      </c>
      <c r="B384" s="533" t="s">
        <v>1177</v>
      </c>
      <c r="C384" s="534" t="s">
        <v>1086</v>
      </c>
      <c r="D384" s="122"/>
      <c r="E384" s="555" t="s">
        <v>1027</v>
      </c>
      <c r="F384" s="564">
        <f>15*0.83*1/27</f>
        <v>0.46111111111111108</v>
      </c>
      <c r="G384" s="436">
        <v>0.1</v>
      </c>
      <c r="H384" s="569">
        <f>F384*(1+G384)</f>
        <v>0.50722222222222224</v>
      </c>
      <c r="I384" s="540" t="s">
        <v>1028</v>
      </c>
      <c r="J384" s="553">
        <f>$J$11</f>
        <v>0</v>
      </c>
      <c r="K384" s="554">
        <f>J384*H384</f>
        <v>0</v>
      </c>
      <c r="L384" s="120"/>
      <c r="M384" s="558"/>
    </row>
    <row r="385" spans="1:13" s="187" customFormat="1" x14ac:dyDescent="0.2">
      <c r="A385" s="111">
        <f>IF(F385&lt;&gt;"",1+MAX($A$6:A384),"")</f>
        <v>305</v>
      </c>
      <c r="B385" s="533" t="s">
        <v>1177</v>
      </c>
      <c r="C385" s="534" t="s">
        <v>1086</v>
      </c>
      <c r="D385" s="122"/>
      <c r="E385" s="555" t="s">
        <v>1206</v>
      </c>
      <c r="F385" s="552">
        <f>15*1.25*2</f>
        <v>37.5</v>
      </c>
      <c r="G385" s="436">
        <v>0.1</v>
      </c>
      <c r="H385" s="539">
        <f>F385*(1+G385)</f>
        <v>41.25</v>
      </c>
      <c r="I385" s="540" t="s">
        <v>1030</v>
      </c>
      <c r="J385" s="556">
        <v>0</v>
      </c>
      <c r="K385" s="554">
        <f>J385*H385</f>
        <v>0</v>
      </c>
      <c r="L385" s="120"/>
      <c r="M385" s="558"/>
    </row>
    <row r="386" spans="1:13" s="187" customFormat="1" x14ac:dyDescent="0.2">
      <c r="A386" s="111">
        <f>IF(F386&lt;&gt;"",1+MAX($A$6:A385),"")</f>
        <v>306</v>
      </c>
      <c r="B386" s="533" t="s">
        <v>1177</v>
      </c>
      <c r="C386" s="534" t="s">
        <v>1086</v>
      </c>
      <c r="D386" s="122"/>
      <c r="E386" s="555" t="s">
        <v>1207</v>
      </c>
      <c r="F386" s="552">
        <f>6*15*1.5*1.2</f>
        <v>162</v>
      </c>
      <c r="G386" s="436">
        <v>0.1</v>
      </c>
      <c r="H386" s="539">
        <f>F386*(1+G386)</f>
        <v>178.20000000000002</v>
      </c>
      <c r="I386" s="540" t="s">
        <v>427</v>
      </c>
      <c r="J386" s="553">
        <f t="shared" ref="J386:J387" si="134">$J$15</f>
        <v>0</v>
      </c>
      <c r="K386" s="554">
        <f>J386*H386</f>
        <v>0</v>
      </c>
      <c r="L386" s="120"/>
      <c r="M386" s="558"/>
    </row>
    <row r="387" spans="1:13" s="187" customFormat="1" x14ac:dyDescent="0.2">
      <c r="A387" s="111">
        <f>IF(F387&lt;&gt;"",1+MAX($A$6:A386),"")</f>
        <v>307</v>
      </c>
      <c r="B387" s="533" t="s">
        <v>1177</v>
      </c>
      <c r="C387" s="534" t="s">
        <v>1086</v>
      </c>
      <c r="D387" s="122"/>
      <c r="E387" s="555" t="s">
        <v>1208</v>
      </c>
      <c r="F387" s="552">
        <f>(15/0.42+1)*(2*0.83+2*1+0.5)*0.376*1.2</f>
        <v>68.912420571428569</v>
      </c>
      <c r="G387" s="436">
        <v>0.1</v>
      </c>
      <c r="H387" s="539">
        <f>F387*(1+G387)</f>
        <v>75.803662628571431</v>
      </c>
      <c r="I387" s="540" t="s">
        <v>427</v>
      </c>
      <c r="J387" s="553">
        <f t="shared" si="134"/>
        <v>0</v>
      </c>
      <c r="K387" s="554">
        <f>J387*H387</f>
        <v>0</v>
      </c>
      <c r="L387" s="120"/>
      <c r="M387" s="558"/>
    </row>
    <row r="388" spans="1:13" s="187" customFormat="1" ht="63" x14ac:dyDescent="0.2">
      <c r="A388" s="111" t="str">
        <f>IF(F388&lt;&gt;"",1+MAX($A$6:A387),"")</f>
        <v/>
      </c>
      <c r="B388" s="533"/>
      <c r="C388" s="534"/>
      <c r="D388" s="122"/>
      <c r="E388" s="563" t="s">
        <v>1209</v>
      </c>
      <c r="F388" s="552"/>
      <c r="G388" s="436"/>
      <c r="H388" s="539"/>
      <c r="I388" s="540"/>
      <c r="J388" s="553"/>
      <c r="K388" s="554"/>
      <c r="L388" s="120"/>
      <c r="M388" s="558"/>
    </row>
    <row r="389" spans="1:13" s="187" customFormat="1" x14ac:dyDescent="0.2">
      <c r="A389" s="111">
        <f>IF(F389&lt;&gt;"",1+MAX($A$6:A388),"")</f>
        <v>308</v>
      </c>
      <c r="B389" s="533" t="s">
        <v>1177</v>
      </c>
      <c r="C389" s="534" t="s">
        <v>1086</v>
      </c>
      <c r="D389" s="122"/>
      <c r="E389" s="555" t="s">
        <v>1027</v>
      </c>
      <c r="F389" s="552">
        <f>31*3*2.5/27</f>
        <v>8.6111111111111107</v>
      </c>
      <c r="G389" s="436">
        <v>0.1</v>
      </c>
      <c r="H389" s="539">
        <f>F389*(1+G389)</f>
        <v>9.4722222222222232</v>
      </c>
      <c r="I389" s="540" t="s">
        <v>1028</v>
      </c>
      <c r="J389" s="553">
        <f>$J$11</f>
        <v>0</v>
      </c>
      <c r="K389" s="554">
        <f>J389*H389</f>
        <v>0</v>
      </c>
      <c r="L389" s="120"/>
      <c r="M389" s="558"/>
    </row>
    <row r="390" spans="1:13" s="187" customFormat="1" x14ac:dyDescent="0.2">
      <c r="A390" s="111">
        <f>IF(F390&lt;&gt;"",1+MAX($A$6:A389),"")</f>
        <v>309</v>
      </c>
      <c r="B390" s="533" t="s">
        <v>1177</v>
      </c>
      <c r="C390" s="534" t="s">
        <v>1086</v>
      </c>
      <c r="D390" s="122"/>
      <c r="E390" s="555" t="s">
        <v>1206</v>
      </c>
      <c r="F390" s="552">
        <f>31*2.5*2</f>
        <v>155</v>
      </c>
      <c r="G390" s="436">
        <v>0.1</v>
      </c>
      <c r="H390" s="539">
        <f>F390*(1+G390)</f>
        <v>170.5</v>
      </c>
      <c r="I390" s="540" t="s">
        <v>1030</v>
      </c>
      <c r="J390" s="553">
        <f>J$385</f>
        <v>0</v>
      </c>
      <c r="K390" s="554">
        <f>J390*H390</f>
        <v>0</v>
      </c>
      <c r="L390" s="120"/>
      <c r="M390" s="558"/>
    </row>
    <row r="391" spans="1:13" s="187" customFormat="1" x14ac:dyDescent="0.2">
      <c r="A391" s="111">
        <f>IF(F391&lt;&gt;"",1+MAX($A$6:A390),"")</f>
        <v>310</v>
      </c>
      <c r="B391" s="533" t="s">
        <v>1177</v>
      </c>
      <c r="C391" s="534" t="s">
        <v>1086</v>
      </c>
      <c r="D391" s="122"/>
      <c r="E391" s="555" t="s">
        <v>1210</v>
      </c>
      <c r="F391" s="552">
        <f>4*31*2.67*1.2+4*24*2.67*1.2</f>
        <v>704.88</v>
      </c>
      <c r="G391" s="436">
        <v>0.1</v>
      </c>
      <c r="H391" s="539">
        <f>F391*(1+G391)</f>
        <v>775.36800000000005</v>
      </c>
      <c r="I391" s="540" t="s">
        <v>427</v>
      </c>
      <c r="J391" s="553">
        <f t="shared" ref="J391:J393" si="135">$J$15</f>
        <v>0</v>
      </c>
      <c r="K391" s="554">
        <f>J391*H391</f>
        <v>0</v>
      </c>
      <c r="L391" s="120"/>
      <c r="M391" s="558"/>
    </row>
    <row r="392" spans="1:13" s="187" customFormat="1" x14ac:dyDescent="0.2">
      <c r="A392" s="111">
        <f>IF(F392&lt;&gt;"",1+MAX($A$6:A391),"")</f>
        <v>311</v>
      </c>
      <c r="B392" s="533" t="s">
        <v>1177</v>
      </c>
      <c r="C392" s="534" t="s">
        <v>1086</v>
      </c>
      <c r="D392" s="122"/>
      <c r="E392" s="555" t="s">
        <v>1211</v>
      </c>
      <c r="F392" s="552">
        <f>7*31*3.4*1.2</f>
        <v>885.3599999999999</v>
      </c>
      <c r="G392" s="436">
        <v>0.1</v>
      </c>
      <c r="H392" s="539">
        <f>F392*(1+G392)</f>
        <v>973.89599999999996</v>
      </c>
      <c r="I392" s="540" t="s">
        <v>427</v>
      </c>
      <c r="J392" s="553">
        <f t="shared" si="135"/>
        <v>0</v>
      </c>
      <c r="K392" s="554">
        <f>J392*H392</f>
        <v>0</v>
      </c>
      <c r="L392" s="120"/>
      <c r="M392" s="558"/>
    </row>
    <row r="393" spans="1:13" s="187" customFormat="1" x14ac:dyDescent="0.2">
      <c r="A393" s="111">
        <f>IF(F393&lt;&gt;"",1+MAX($A$6:A392),"")</f>
        <v>312</v>
      </c>
      <c r="B393" s="533" t="s">
        <v>1177</v>
      </c>
      <c r="C393" s="534" t="s">
        <v>1086</v>
      </c>
      <c r="D393" s="122"/>
      <c r="E393" s="555" t="s">
        <v>1212</v>
      </c>
      <c r="F393" s="552">
        <f>(31/0.75+1)*(2*3+4*2.5+0.5)*0.668*1.2</f>
        <v>559.91759999999999</v>
      </c>
      <c r="G393" s="436">
        <v>0.1</v>
      </c>
      <c r="H393" s="539">
        <f>F393*(1+G393)</f>
        <v>615.90935999999999</v>
      </c>
      <c r="I393" s="540" t="s">
        <v>427</v>
      </c>
      <c r="J393" s="553">
        <f t="shared" si="135"/>
        <v>0</v>
      </c>
      <c r="K393" s="554">
        <f>J393*H393</f>
        <v>0</v>
      </c>
      <c r="L393" s="120"/>
      <c r="M393" s="558"/>
    </row>
    <row r="394" spans="1:13" s="187" customFormat="1" ht="63" x14ac:dyDescent="0.2">
      <c r="A394" s="111" t="str">
        <f>IF(F394&lt;&gt;"",1+MAX($A$6:A393),"")</f>
        <v/>
      </c>
      <c r="B394" s="533"/>
      <c r="C394" s="534"/>
      <c r="D394" s="122"/>
      <c r="E394" s="563" t="s">
        <v>1213</v>
      </c>
      <c r="F394" s="552"/>
      <c r="G394" s="436"/>
      <c r="H394" s="539"/>
      <c r="I394" s="540"/>
      <c r="J394" s="553"/>
      <c r="K394" s="554"/>
      <c r="L394" s="120"/>
      <c r="M394" s="558"/>
    </row>
    <row r="395" spans="1:13" s="187" customFormat="1" x14ac:dyDescent="0.2">
      <c r="A395" s="111">
        <f>IF(F395&lt;&gt;"",1+MAX($A$6:A394),"")</f>
        <v>313</v>
      </c>
      <c r="B395" s="533" t="s">
        <v>1177</v>
      </c>
      <c r="C395" s="534" t="s">
        <v>1086</v>
      </c>
      <c r="D395" s="122"/>
      <c r="E395" s="555" t="s">
        <v>1027</v>
      </c>
      <c r="F395" s="564">
        <f>5*0.67*3.5/27</f>
        <v>0.43425925925925923</v>
      </c>
      <c r="G395" s="436">
        <v>0.1</v>
      </c>
      <c r="H395" s="569">
        <f>F395*(1+G395)</f>
        <v>0.47768518518518521</v>
      </c>
      <c r="I395" s="540" t="s">
        <v>1028</v>
      </c>
      <c r="J395" s="553">
        <f>$J$11</f>
        <v>0</v>
      </c>
      <c r="K395" s="554">
        <f>J395*H395</f>
        <v>0</v>
      </c>
      <c r="L395" s="120"/>
      <c r="M395" s="558"/>
    </row>
    <row r="396" spans="1:13" s="187" customFormat="1" x14ac:dyDescent="0.2">
      <c r="A396" s="111">
        <f>IF(F396&lt;&gt;"",1+MAX($A$6:A395),"")</f>
        <v>314</v>
      </c>
      <c r="B396" s="533" t="s">
        <v>1177</v>
      </c>
      <c r="C396" s="534" t="s">
        <v>1086</v>
      </c>
      <c r="D396" s="122"/>
      <c r="E396" s="555" t="s">
        <v>1206</v>
      </c>
      <c r="F396" s="552">
        <f>5*3.5*2</f>
        <v>35</v>
      </c>
      <c r="G396" s="436">
        <v>0.1</v>
      </c>
      <c r="H396" s="539">
        <f>F396*(1+G396)</f>
        <v>38.5</v>
      </c>
      <c r="I396" s="540" t="s">
        <v>1030</v>
      </c>
      <c r="J396" s="553">
        <f>J$385</f>
        <v>0</v>
      </c>
      <c r="K396" s="554">
        <f>J396*H396</f>
        <v>0</v>
      </c>
      <c r="L396" s="120"/>
      <c r="M396" s="558"/>
    </row>
    <row r="397" spans="1:13" s="187" customFormat="1" x14ac:dyDescent="0.2">
      <c r="A397" s="111">
        <f>IF(F397&lt;&gt;"",1+MAX($A$6:A396),"")</f>
        <v>315</v>
      </c>
      <c r="B397" s="533" t="s">
        <v>1177</v>
      </c>
      <c r="C397" s="534" t="s">
        <v>1086</v>
      </c>
      <c r="D397" s="122"/>
      <c r="E397" s="555" t="s">
        <v>1214</v>
      </c>
      <c r="F397" s="552">
        <f>4*5*3.4*1.2</f>
        <v>81.599999999999994</v>
      </c>
      <c r="G397" s="436">
        <v>0.1</v>
      </c>
      <c r="H397" s="539">
        <f>F397*(1+G397)</f>
        <v>89.76</v>
      </c>
      <c r="I397" s="540" t="s">
        <v>427</v>
      </c>
      <c r="J397" s="553">
        <f t="shared" ref="J397:J398" si="136">$J$15</f>
        <v>0</v>
      </c>
      <c r="K397" s="554">
        <f>J397*H397</f>
        <v>0</v>
      </c>
      <c r="L397" s="120"/>
      <c r="M397" s="558"/>
    </row>
    <row r="398" spans="1:13" s="187" customFormat="1" x14ac:dyDescent="0.2">
      <c r="A398" s="111">
        <f>IF(F398&lt;&gt;"",1+MAX($A$6:A397),"")</f>
        <v>316</v>
      </c>
      <c r="B398" s="533" t="s">
        <v>1177</v>
      </c>
      <c r="C398" s="534" t="s">
        <v>1086</v>
      </c>
      <c r="D398" s="122"/>
      <c r="E398" s="555" t="s">
        <v>1215</v>
      </c>
      <c r="F398" s="552">
        <f>(5/0.33+1)*(2*0.67+2*3.5+0.5)*0.668*1.2</f>
        <v>114.45196218181817</v>
      </c>
      <c r="G398" s="436">
        <v>0.1</v>
      </c>
      <c r="H398" s="539">
        <f>F398*(1+G398)</f>
        <v>125.89715840000001</v>
      </c>
      <c r="I398" s="540" t="s">
        <v>427</v>
      </c>
      <c r="J398" s="553">
        <f t="shared" si="136"/>
        <v>0</v>
      </c>
      <c r="K398" s="554">
        <f>J398*H398</f>
        <v>0</v>
      </c>
      <c r="L398" s="120"/>
      <c r="M398" s="558"/>
    </row>
    <row r="399" spans="1:13" s="187" customFormat="1" ht="16.5" thickBot="1" x14ac:dyDescent="0.25">
      <c r="A399" s="111" t="str">
        <f>IF(F399&lt;&gt;"",1+MAX($A$6:A398),"")</f>
        <v/>
      </c>
      <c r="B399" s="533"/>
      <c r="C399" s="534"/>
      <c r="D399" s="122"/>
      <c r="E399" s="559"/>
      <c r="F399" s="560"/>
      <c r="G399" s="436"/>
      <c r="H399" s="539"/>
      <c r="I399" s="540"/>
      <c r="J399" s="553"/>
      <c r="K399" s="554"/>
      <c r="L399" s="120"/>
      <c r="M399" s="558"/>
    </row>
    <row r="400" spans="1:13" s="187" customFormat="1" ht="16.5" thickBot="1" x14ac:dyDescent="0.25">
      <c r="A400" s="111" t="str">
        <f>IF(F400&lt;&gt;"",1+MAX($A$6:A399),"")</f>
        <v/>
      </c>
      <c r="B400" s="533"/>
      <c r="C400" s="542"/>
      <c r="D400" s="543"/>
      <c r="E400" s="561" t="s">
        <v>1216</v>
      </c>
      <c r="F400" s="537"/>
      <c r="G400" s="546"/>
      <c r="H400" s="547"/>
      <c r="I400" s="548"/>
      <c r="J400" s="226"/>
      <c r="K400" s="549"/>
      <c r="L400" s="120"/>
    </row>
    <row r="401" spans="1:13" s="187" customFormat="1" x14ac:dyDescent="0.2">
      <c r="A401" s="111">
        <f>IF(F401&lt;&gt;"",1+MAX($A$6:A400),"")</f>
        <v>317</v>
      </c>
      <c r="B401" s="533" t="s">
        <v>1177</v>
      </c>
      <c r="C401" s="534" t="s">
        <v>1056</v>
      </c>
      <c r="D401" s="122"/>
      <c r="E401" s="555" t="s">
        <v>1027</v>
      </c>
      <c r="F401" s="564">
        <f>13*0.33*0.5/27</f>
        <v>7.9444444444444443E-2</v>
      </c>
      <c r="G401" s="436">
        <v>0.1</v>
      </c>
      <c r="H401" s="565">
        <f t="shared" si="126"/>
        <v>8.7388888888888891E-2</v>
      </c>
      <c r="I401" s="540" t="s">
        <v>1028</v>
      </c>
      <c r="J401" s="553">
        <f>$J$11</f>
        <v>0</v>
      </c>
      <c r="K401" s="554">
        <f t="shared" si="127"/>
        <v>0</v>
      </c>
      <c r="L401" s="120"/>
      <c r="M401" s="558"/>
    </row>
    <row r="402" spans="1:13" s="187" customFormat="1" x14ac:dyDescent="0.2">
      <c r="A402" s="111">
        <f>IF(F402&lt;&gt;"",1+MAX($A$6:A401),"")</f>
        <v>318</v>
      </c>
      <c r="B402" s="533" t="s">
        <v>1177</v>
      </c>
      <c r="C402" s="534" t="s">
        <v>1056</v>
      </c>
      <c r="D402" s="122"/>
      <c r="E402" s="555" t="s">
        <v>1217</v>
      </c>
      <c r="F402" s="552">
        <f>13*0.5</f>
        <v>6.5</v>
      </c>
      <c r="G402" s="436">
        <v>0.1</v>
      </c>
      <c r="H402" s="539">
        <f t="shared" si="126"/>
        <v>7.15</v>
      </c>
      <c r="I402" s="540" t="s">
        <v>1030</v>
      </c>
      <c r="J402" s="556">
        <v>0</v>
      </c>
      <c r="K402" s="554">
        <f t="shared" si="127"/>
        <v>0</v>
      </c>
      <c r="L402" s="120"/>
      <c r="M402" s="558"/>
    </row>
    <row r="403" spans="1:13" s="187" customFormat="1" ht="16.5" thickBot="1" x14ac:dyDescent="0.25">
      <c r="A403" s="111" t="str">
        <f>IF(F403&lt;&gt;"",1+MAX($A$6:A402),"")</f>
        <v/>
      </c>
      <c r="B403" s="533"/>
      <c r="C403" s="534"/>
      <c r="D403" s="122"/>
      <c r="E403" s="559"/>
      <c r="F403" s="560"/>
      <c r="G403" s="436"/>
      <c r="H403" s="539"/>
      <c r="I403" s="540"/>
      <c r="J403" s="553"/>
      <c r="K403" s="554"/>
      <c r="L403" s="120"/>
      <c r="M403" s="558"/>
    </row>
    <row r="404" spans="1:13" s="187" customFormat="1" ht="16.5" thickBot="1" x14ac:dyDescent="0.25">
      <c r="A404" s="111" t="str">
        <f>IF(F404&lt;&gt;"",1+MAX($A$6:A403),"")</f>
        <v/>
      </c>
      <c r="B404" s="533"/>
      <c r="C404" s="542"/>
      <c r="D404" s="543"/>
      <c r="E404" s="561" t="s">
        <v>1218</v>
      </c>
      <c r="F404" s="537"/>
      <c r="G404" s="546"/>
      <c r="H404" s="547"/>
      <c r="I404" s="548"/>
      <c r="J404" s="226"/>
      <c r="K404" s="549"/>
      <c r="L404" s="120"/>
    </row>
    <row r="405" spans="1:13" s="187" customFormat="1" x14ac:dyDescent="0.2">
      <c r="A405" s="111">
        <f>IF(F405&lt;&gt;"",1+MAX($A$6:A404),"")</f>
        <v>319</v>
      </c>
      <c r="B405" s="533" t="s">
        <v>1177</v>
      </c>
      <c r="C405" s="534" t="s">
        <v>1026</v>
      </c>
      <c r="D405" s="122"/>
      <c r="E405" s="555" t="s">
        <v>1219</v>
      </c>
      <c r="F405" s="552">
        <v>945</v>
      </c>
      <c r="G405" s="436">
        <v>0.1</v>
      </c>
      <c r="H405" s="539">
        <f>F405*(1+G405)</f>
        <v>1039.5</v>
      </c>
      <c r="I405" s="540" t="s">
        <v>15</v>
      </c>
      <c r="J405" s="556">
        <v>0</v>
      </c>
      <c r="K405" s="554">
        <f>J405*H405</f>
        <v>0</v>
      </c>
      <c r="L405" s="120"/>
      <c r="M405" s="558"/>
    </row>
    <row r="406" spans="1:13" s="187" customFormat="1" ht="16.5" thickBot="1" x14ac:dyDescent="0.25">
      <c r="A406" s="111" t="str">
        <f>IF(F406&lt;&gt;"",1+MAX($A$6:A405),"")</f>
        <v/>
      </c>
      <c r="B406" s="533"/>
      <c r="C406" s="534"/>
      <c r="D406" s="122"/>
      <c r="E406" s="559"/>
      <c r="F406" s="560"/>
      <c r="G406" s="436"/>
      <c r="H406" s="539"/>
      <c r="I406" s="540"/>
      <c r="J406" s="553"/>
      <c r="K406" s="554"/>
      <c r="L406" s="120"/>
      <c r="M406" s="558"/>
    </row>
    <row r="407" spans="1:13" s="187" customFormat="1" ht="16.5" thickBot="1" x14ac:dyDescent="0.25">
      <c r="A407" s="111" t="str">
        <f>IF(F407&lt;&gt;"",1+MAX($A$6:A406),"")</f>
        <v/>
      </c>
      <c r="B407" s="533"/>
      <c r="C407" s="542"/>
      <c r="D407" s="543"/>
      <c r="E407" s="561" t="s">
        <v>1098</v>
      </c>
      <c r="F407" s="537"/>
      <c r="G407" s="546"/>
      <c r="H407" s="547"/>
      <c r="I407" s="548"/>
      <c r="J407" s="226"/>
      <c r="K407" s="549"/>
      <c r="L407" s="120"/>
    </row>
    <row r="408" spans="1:13" s="187" customFormat="1" ht="63" x14ac:dyDescent="0.2">
      <c r="A408" s="111" t="str">
        <f>IF(F408&lt;&gt;"",1+MAX($A$6:A407),"")</f>
        <v/>
      </c>
      <c r="B408" s="533"/>
      <c r="C408" s="534"/>
      <c r="D408" s="550"/>
      <c r="E408" s="551" t="s">
        <v>1220</v>
      </c>
      <c r="F408" s="552"/>
      <c r="G408" s="127"/>
      <c r="H408" s="539"/>
      <c r="I408" s="540"/>
      <c r="J408" s="553"/>
      <c r="K408" s="554"/>
      <c r="L408" s="120"/>
    </row>
    <row r="409" spans="1:13" s="187" customFormat="1" x14ac:dyDescent="0.2">
      <c r="A409" s="111">
        <f>IF(F409&lt;&gt;"",1+MAX($A$6:A408),"")</f>
        <v>320</v>
      </c>
      <c r="B409" s="533" t="s">
        <v>1177</v>
      </c>
      <c r="C409" s="534" t="s">
        <v>1026</v>
      </c>
      <c r="D409" s="122"/>
      <c r="E409" s="555" t="s">
        <v>1027</v>
      </c>
      <c r="F409" s="552">
        <f>165*0.67*10/27</f>
        <v>40.944444444444443</v>
      </c>
      <c r="G409" s="436">
        <v>0.1</v>
      </c>
      <c r="H409" s="539">
        <f t="shared" ref="H409:H415" si="137">F409*(1+G409)</f>
        <v>45.038888888888891</v>
      </c>
      <c r="I409" s="540" t="s">
        <v>1028</v>
      </c>
      <c r="J409" s="553">
        <f>$J$11</f>
        <v>0</v>
      </c>
      <c r="K409" s="554">
        <f t="shared" ref="K409:K415" si="138">J409*H409</f>
        <v>0</v>
      </c>
      <c r="L409" s="120"/>
      <c r="M409" s="558"/>
    </row>
    <row r="410" spans="1:13" s="187" customFormat="1" x14ac:dyDescent="0.2">
      <c r="A410" s="111">
        <f>IF(F410&lt;&gt;"",1+MAX($A$6:A409),"")</f>
        <v>321</v>
      </c>
      <c r="B410" s="533" t="s">
        <v>1177</v>
      </c>
      <c r="C410" s="534" t="s">
        <v>1026</v>
      </c>
      <c r="D410" s="122"/>
      <c r="E410" s="555" t="s">
        <v>1111</v>
      </c>
      <c r="F410" s="552">
        <f>165*10*2</f>
        <v>3300</v>
      </c>
      <c r="G410" s="436">
        <v>0.1</v>
      </c>
      <c r="H410" s="539">
        <f t="shared" si="137"/>
        <v>3630.0000000000005</v>
      </c>
      <c r="I410" s="540" t="s">
        <v>1030</v>
      </c>
      <c r="J410" s="553">
        <f>J$209</f>
        <v>0</v>
      </c>
      <c r="K410" s="554">
        <f t="shared" si="138"/>
        <v>0</v>
      </c>
      <c r="L410" s="120"/>
      <c r="M410" s="558"/>
    </row>
    <row r="411" spans="1:13" s="187" customFormat="1" x14ac:dyDescent="0.2">
      <c r="A411" s="111">
        <f>IF(F411&lt;&gt;"",1+MAX($A$6:A410),"")</f>
        <v>322</v>
      </c>
      <c r="B411" s="533" t="s">
        <v>1177</v>
      </c>
      <c r="C411" s="534" t="s">
        <v>1026</v>
      </c>
      <c r="D411" s="122"/>
      <c r="E411" s="555" t="s">
        <v>1131</v>
      </c>
      <c r="F411" s="552">
        <f>(10/0.83+1)*165*0.668*1.2*2</f>
        <v>3451.6123373493974</v>
      </c>
      <c r="G411" s="436">
        <v>0.1</v>
      </c>
      <c r="H411" s="539">
        <f t="shared" si="137"/>
        <v>3796.7735710843376</v>
      </c>
      <c r="I411" s="540" t="s">
        <v>427</v>
      </c>
      <c r="J411" s="553">
        <f t="shared" ref="J411:J415" si="139">$J$15</f>
        <v>0</v>
      </c>
      <c r="K411" s="554">
        <f t="shared" si="138"/>
        <v>0</v>
      </c>
      <c r="L411" s="120"/>
      <c r="M411" s="558"/>
    </row>
    <row r="412" spans="1:13" s="187" customFormat="1" x14ac:dyDescent="0.2">
      <c r="A412" s="111">
        <f>IF(F412&lt;&gt;"",1+MAX($A$6:A411),"")</f>
        <v>323</v>
      </c>
      <c r="B412" s="533" t="s">
        <v>1177</v>
      </c>
      <c r="C412" s="534" t="s">
        <v>1026</v>
      </c>
      <c r="D412" s="122"/>
      <c r="E412" s="555" t="s">
        <v>1132</v>
      </c>
      <c r="F412" s="552">
        <f>(165/1.17+1)*10*1.043*1.2*2</f>
        <v>3555.1858461538454</v>
      </c>
      <c r="G412" s="436">
        <v>0.1</v>
      </c>
      <c r="H412" s="539">
        <f t="shared" si="137"/>
        <v>3910.7044307692304</v>
      </c>
      <c r="I412" s="540" t="s">
        <v>427</v>
      </c>
      <c r="J412" s="553">
        <f t="shared" si="139"/>
        <v>0</v>
      </c>
      <c r="K412" s="554">
        <f t="shared" si="138"/>
        <v>0</v>
      </c>
      <c r="L412" s="120"/>
      <c r="M412" s="558"/>
    </row>
    <row r="413" spans="1:13" s="187" customFormat="1" x14ac:dyDescent="0.2">
      <c r="A413" s="111">
        <f>IF(F413&lt;&gt;"",1+MAX($A$6:A412),"")</f>
        <v>324</v>
      </c>
      <c r="B413" s="533" t="s">
        <v>1177</v>
      </c>
      <c r="C413" s="534" t="s">
        <v>1026</v>
      </c>
      <c r="D413" s="122"/>
      <c r="E413" s="555" t="s">
        <v>1221</v>
      </c>
      <c r="F413" s="552">
        <f>2*10*1.043*1.2*2</f>
        <v>50.064</v>
      </c>
      <c r="G413" s="436">
        <v>0.1</v>
      </c>
      <c r="H413" s="539">
        <f t="shared" si="137"/>
        <v>55.070400000000006</v>
      </c>
      <c r="I413" s="540" t="s">
        <v>427</v>
      </c>
      <c r="J413" s="553">
        <f t="shared" si="139"/>
        <v>0</v>
      </c>
      <c r="K413" s="554">
        <f t="shared" si="138"/>
        <v>0</v>
      </c>
      <c r="L413" s="120"/>
      <c r="M413" s="558"/>
    </row>
    <row r="414" spans="1:13" s="187" customFormat="1" x14ac:dyDescent="0.2">
      <c r="A414" s="111">
        <f>IF(F414&lt;&gt;"",1+MAX($A$6:A413),"")</f>
        <v>325</v>
      </c>
      <c r="B414" s="533" t="s">
        <v>1177</v>
      </c>
      <c r="C414" s="534" t="s">
        <v>1026</v>
      </c>
      <c r="D414" s="122"/>
      <c r="E414" s="555" t="s">
        <v>1222</v>
      </c>
      <c r="F414" s="552">
        <f>(165/1+1)*7.5*1.043*1.2*2</f>
        <v>3116.4839999999995</v>
      </c>
      <c r="G414" s="436">
        <v>0.1</v>
      </c>
      <c r="H414" s="539">
        <f t="shared" si="137"/>
        <v>3428.1323999999995</v>
      </c>
      <c r="I414" s="540" t="s">
        <v>427</v>
      </c>
      <c r="J414" s="553">
        <f t="shared" si="139"/>
        <v>0</v>
      </c>
      <c r="K414" s="554">
        <f t="shared" si="138"/>
        <v>0</v>
      </c>
      <c r="L414" s="120"/>
      <c r="M414" s="558"/>
    </row>
    <row r="415" spans="1:13" s="187" customFormat="1" x14ac:dyDescent="0.2">
      <c r="A415" s="111">
        <f>IF(F415&lt;&gt;"",1+MAX($A$6:A414),"")</f>
        <v>326</v>
      </c>
      <c r="B415" s="533" t="s">
        <v>1177</v>
      </c>
      <c r="C415" s="534" t="s">
        <v>1026</v>
      </c>
      <c r="D415" s="122"/>
      <c r="E415" s="555" t="s">
        <v>1223</v>
      </c>
      <c r="F415" s="552">
        <f>165/1.33*3.83*1.043*1.2</f>
        <v>594.69821052631573</v>
      </c>
      <c r="G415" s="436">
        <v>0.1</v>
      </c>
      <c r="H415" s="539">
        <f t="shared" si="137"/>
        <v>654.16803157894731</v>
      </c>
      <c r="I415" s="540" t="s">
        <v>427</v>
      </c>
      <c r="J415" s="553">
        <f t="shared" si="139"/>
        <v>0</v>
      </c>
      <c r="K415" s="554">
        <f t="shared" si="138"/>
        <v>0</v>
      </c>
      <c r="L415" s="120"/>
      <c r="M415" s="558"/>
    </row>
    <row r="416" spans="1:13" s="187" customFormat="1" ht="63" x14ac:dyDescent="0.2">
      <c r="A416" s="111" t="str">
        <f>IF(F416&lt;&gt;"",1+MAX($A$6:A415),"")</f>
        <v/>
      </c>
      <c r="B416" s="533"/>
      <c r="C416" s="534"/>
      <c r="D416" s="550"/>
      <c r="E416" s="551" t="s">
        <v>1224</v>
      </c>
      <c r="F416" s="552"/>
      <c r="G416" s="127"/>
      <c r="H416" s="539"/>
      <c r="I416" s="540"/>
      <c r="J416" s="553"/>
      <c r="K416" s="554"/>
      <c r="L416" s="120"/>
    </row>
    <row r="417" spans="1:13" s="187" customFormat="1" x14ac:dyDescent="0.2">
      <c r="A417" s="111">
        <f>IF(F417&lt;&gt;"",1+MAX($A$6:A416),"")</f>
        <v>327</v>
      </c>
      <c r="B417" s="533" t="s">
        <v>1177</v>
      </c>
      <c r="C417" s="534" t="s">
        <v>1026</v>
      </c>
      <c r="D417" s="122"/>
      <c r="E417" s="555" t="s">
        <v>1027</v>
      </c>
      <c r="F417" s="552">
        <f>322*1*10/27</f>
        <v>119.25925925925925</v>
      </c>
      <c r="G417" s="436">
        <v>0.1</v>
      </c>
      <c r="H417" s="539">
        <f t="shared" ref="H417:H424" si="140">F417*(1+G417)</f>
        <v>131.18518518518519</v>
      </c>
      <c r="I417" s="540" t="s">
        <v>1028</v>
      </c>
      <c r="J417" s="553">
        <f>$J$11</f>
        <v>0</v>
      </c>
      <c r="K417" s="554">
        <f t="shared" ref="K417:K424" si="141">J417*H417</f>
        <v>0</v>
      </c>
      <c r="L417" s="120"/>
      <c r="M417" s="558"/>
    </row>
    <row r="418" spans="1:13" s="187" customFormat="1" x14ac:dyDescent="0.2">
      <c r="A418" s="111">
        <f>IF(F418&lt;&gt;"",1+MAX($A$6:A417),"")</f>
        <v>328</v>
      </c>
      <c r="B418" s="533" t="s">
        <v>1177</v>
      </c>
      <c r="C418" s="534" t="s">
        <v>1026</v>
      </c>
      <c r="D418" s="122"/>
      <c r="E418" s="555" t="s">
        <v>1111</v>
      </c>
      <c r="F418" s="552">
        <f>322*10*2</f>
        <v>6440</v>
      </c>
      <c r="G418" s="436">
        <v>0.1</v>
      </c>
      <c r="H418" s="539">
        <f t="shared" si="140"/>
        <v>7084.0000000000009</v>
      </c>
      <c r="I418" s="540" t="s">
        <v>1030</v>
      </c>
      <c r="J418" s="553">
        <f>J$209</f>
        <v>0</v>
      </c>
      <c r="K418" s="554">
        <f t="shared" si="141"/>
        <v>0</v>
      </c>
      <c r="L418" s="120"/>
      <c r="M418" s="558"/>
    </row>
    <row r="419" spans="1:13" s="187" customFormat="1" x14ac:dyDescent="0.2">
      <c r="A419" s="111">
        <f>IF(F419&lt;&gt;"",1+MAX($A$6:A418),"")</f>
        <v>329</v>
      </c>
      <c r="B419" s="533" t="s">
        <v>1177</v>
      </c>
      <c r="C419" s="534" t="s">
        <v>1026</v>
      </c>
      <c r="D419" s="122"/>
      <c r="E419" s="555" t="s">
        <v>1135</v>
      </c>
      <c r="F419" s="552">
        <f>1.043*1.2*2*1.13*322*10/1.17</f>
        <v>7784.73805128205</v>
      </c>
      <c r="G419" s="436">
        <v>0.1</v>
      </c>
      <c r="H419" s="539">
        <f t="shared" si="140"/>
        <v>8563.2118564102566</v>
      </c>
      <c r="I419" s="540" t="s">
        <v>427</v>
      </c>
      <c r="J419" s="553">
        <f t="shared" ref="J419:J424" si="142">$J$15</f>
        <v>0</v>
      </c>
      <c r="K419" s="554">
        <f t="shared" si="141"/>
        <v>0</v>
      </c>
      <c r="L419" s="120"/>
      <c r="M419" s="558"/>
    </row>
    <row r="420" spans="1:13" s="187" customFormat="1" x14ac:dyDescent="0.2">
      <c r="A420" s="111">
        <f>IF(F420&lt;&gt;"",1+MAX($A$6:A419),"")</f>
        <v>330</v>
      </c>
      <c r="B420" s="533" t="s">
        <v>1177</v>
      </c>
      <c r="C420" s="534" t="s">
        <v>1026</v>
      </c>
      <c r="D420" s="122"/>
      <c r="E420" s="555" t="s">
        <v>1126</v>
      </c>
      <c r="F420" s="552">
        <f>1.043*1.2*2*1.13*322*10</f>
        <v>9108.1435199999978</v>
      </c>
      <c r="G420" s="436">
        <v>0.1</v>
      </c>
      <c r="H420" s="539">
        <f t="shared" si="140"/>
        <v>10018.957871999999</v>
      </c>
      <c r="I420" s="540" t="s">
        <v>427</v>
      </c>
      <c r="J420" s="553">
        <f t="shared" si="142"/>
        <v>0</v>
      </c>
      <c r="K420" s="554">
        <f t="shared" si="141"/>
        <v>0</v>
      </c>
      <c r="L420" s="120"/>
      <c r="M420" s="558"/>
    </row>
    <row r="421" spans="1:13" s="187" customFormat="1" x14ac:dyDescent="0.2">
      <c r="A421" s="111">
        <f>IF(F421&lt;&gt;"",1+MAX($A$6:A420),"")</f>
        <v>331</v>
      </c>
      <c r="B421" s="533" t="s">
        <v>1177</v>
      </c>
      <c r="C421" s="534" t="s">
        <v>1026</v>
      </c>
      <c r="D421" s="122"/>
      <c r="E421" s="555" t="s">
        <v>1225</v>
      </c>
      <c r="F421" s="552">
        <f>4*10*1.5*1.2*2</f>
        <v>144</v>
      </c>
      <c r="G421" s="436">
        <v>0.1</v>
      </c>
      <c r="H421" s="539">
        <f t="shared" si="140"/>
        <v>158.4</v>
      </c>
      <c r="I421" s="540" t="s">
        <v>427</v>
      </c>
      <c r="J421" s="553">
        <f t="shared" si="142"/>
        <v>0</v>
      </c>
      <c r="K421" s="554">
        <f t="shared" si="141"/>
        <v>0</v>
      </c>
      <c r="L421" s="120"/>
      <c r="M421" s="558"/>
    </row>
    <row r="422" spans="1:13" s="187" customFormat="1" x14ac:dyDescent="0.2">
      <c r="A422" s="111">
        <f>IF(F422&lt;&gt;"",1+MAX($A$6:A421),"")</f>
        <v>332</v>
      </c>
      <c r="B422" s="533" t="s">
        <v>1177</v>
      </c>
      <c r="C422" s="534" t="s">
        <v>1026</v>
      </c>
      <c r="D422" s="122"/>
      <c r="E422" s="555" t="s">
        <v>1104</v>
      </c>
      <c r="F422" s="552">
        <f>(322/1+1)*7.5*1.043*1.2*2</f>
        <v>6064.0019999999995</v>
      </c>
      <c r="G422" s="436">
        <v>0.1</v>
      </c>
      <c r="H422" s="539">
        <f t="shared" si="140"/>
        <v>6670.4021999999995</v>
      </c>
      <c r="I422" s="540" t="s">
        <v>427</v>
      </c>
      <c r="J422" s="553">
        <f t="shared" si="142"/>
        <v>0</v>
      </c>
      <c r="K422" s="554">
        <f t="shared" si="141"/>
        <v>0</v>
      </c>
      <c r="L422" s="120"/>
      <c r="M422" s="558"/>
    </row>
    <row r="423" spans="1:13" s="187" customFormat="1" x14ac:dyDescent="0.2">
      <c r="A423" s="111">
        <f>IF(F423&lt;&gt;"",1+MAX($A$6:A422),"")</f>
        <v>333</v>
      </c>
      <c r="B423" s="533" t="s">
        <v>1177</v>
      </c>
      <c r="C423" s="534" t="s">
        <v>1026</v>
      </c>
      <c r="D423" s="122"/>
      <c r="E423" s="555" t="s">
        <v>1226</v>
      </c>
      <c r="F423" s="552">
        <f>322/1.33*3.83*1.043*1.2</f>
        <v>1160.5625684210524</v>
      </c>
      <c r="G423" s="436">
        <v>0.1</v>
      </c>
      <c r="H423" s="539">
        <f t="shared" si="140"/>
        <v>1276.6188252631578</v>
      </c>
      <c r="I423" s="540" t="s">
        <v>427</v>
      </c>
      <c r="J423" s="553">
        <f t="shared" si="142"/>
        <v>0</v>
      </c>
      <c r="K423" s="554">
        <f t="shared" si="141"/>
        <v>0</v>
      </c>
      <c r="L423" s="120"/>
      <c r="M423" s="558"/>
    </row>
    <row r="424" spans="1:13" s="187" customFormat="1" x14ac:dyDescent="0.2">
      <c r="A424" s="111">
        <f>IF(F424&lt;&gt;"",1+MAX($A$6:A423),"")</f>
        <v>334</v>
      </c>
      <c r="B424" s="533" t="s">
        <v>1177</v>
      </c>
      <c r="C424" s="534" t="s">
        <v>1026</v>
      </c>
      <c r="D424" s="122"/>
      <c r="E424" s="555" t="s">
        <v>1227</v>
      </c>
      <c r="F424" s="552">
        <f>10/0.25*1.5*0.376*1.2*2</f>
        <v>54.143999999999998</v>
      </c>
      <c r="G424" s="436">
        <v>0.1</v>
      </c>
      <c r="H424" s="539">
        <f t="shared" si="140"/>
        <v>59.558400000000006</v>
      </c>
      <c r="I424" s="540" t="s">
        <v>427</v>
      </c>
      <c r="J424" s="553">
        <f t="shared" si="142"/>
        <v>0</v>
      </c>
      <c r="K424" s="554">
        <f t="shared" si="141"/>
        <v>0</v>
      </c>
      <c r="L424" s="120"/>
      <c r="M424" s="558"/>
    </row>
    <row r="425" spans="1:13" s="187" customFormat="1" ht="63" x14ac:dyDescent="0.2">
      <c r="A425" s="111" t="str">
        <f>IF(F425&lt;&gt;"",1+MAX($A$6:A424),"")</f>
        <v/>
      </c>
      <c r="B425" s="533"/>
      <c r="C425" s="534"/>
      <c r="D425" s="550"/>
      <c r="E425" s="551" t="s">
        <v>1228</v>
      </c>
      <c r="F425" s="552"/>
      <c r="G425" s="127"/>
      <c r="H425" s="539"/>
      <c r="I425" s="540"/>
      <c r="J425" s="553"/>
      <c r="K425" s="554"/>
      <c r="L425" s="120"/>
    </row>
    <row r="426" spans="1:13" s="187" customFormat="1" x14ac:dyDescent="0.2">
      <c r="A426" s="111">
        <f>IF(F426&lt;&gt;"",1+MAX($A$6:A425),"")</f>
        <v>335</v>
      </c>
      <c r="B426" s="533" t="s">
        <v>1177</v>
      </c>
      <c r="C426" s="534" t="s">
        <v>1026</v>
      </c>
      <c r="D426" s="122"/>
      <c r="E426" s="555" t="s">
        <v>1027</v>
      </c>
      <c r="F426" s="552">
        <f>43*1*10/27</f>
        <v>15.925925925925926</v>
      </c>
      <c r="G426" s="436">
        <v>0.1</v>
      </c>
      <c r="H426" s="539">
        <f t="shared" ref="H426:H432" si="143">F426*(1+G426)</f>
        <v>17.518518518518519</v>
      </c>
      <c r="I426" s="540" t="s">
        <v>1028</v>
      </c>
      <c r="J426" s="553">
        <f>$J$11</f>
        <v>0</v>
      </c>
      <c r="K426" s="554">
        <f t="shared" ref="K426:K432" si="144">J426*H426</f>
        <v>0</v>
      </c>
      <c r="L426" s="120"/>
      <c r="M426" s="558"/>
    </row>
    <row r="427" spans="1:13" s="187" customFormat="1" x14ac:dyDescent="0.2">
      <c r="A427" s="111">
        <f>IF(F427&lt;&gt;"",1+MAX($A$6:A426),"")</f>
        <v>336</v>
      </c>
      <c r="B427" s="533" t="s">
        <v>1177</v>
      </c>
      <c r="C427" s="534" t="s">
        <v>1026</v>
      </c>
      <c r="D427" s="122"/>
      <c r="E427" s="555" t="s">
        <v>1111</v>
      </c>
      <c r="F427" s="552">
        <f>43*10*2</f>
        <v>860</v>
      </c>
      <c r="G427" s="436">
        <v>0.1</v>
      </c>
      <c r="H427" s="539">
        <f t="shared" si="143"/>
        <v>946.00000000000011</v>
      </c>
      <c r="I427" s="540" t="s">
        <v>1030</v>
      </c>
      <c r="J427" s="553">
        <f>J$209</f>
        <v>0</v>
      </c>
      <c r="K427" s="554">
        <f t="shared" si="144"/>
        <v>0</v>
      </c>
      <c r="L427" s="120"/>
      <c r="M427" s="558"/>
    </row>
    <row r="428" spans="1:13" s="187" customFormat="1" x14ac:dyDescent="0.2">
      <c r="A428" s="111">
        <f>IF(F428&lt;&gt;"",1+MAX($A$6:A427),"")</f>
        <v>337</v>
      </c>
      <c r="B428" s="533" t="s">
        <v>1177</v>
      </c>
      <c r="C428" s="534" t="s">
        <v>1026</v>
      </c>
      <c r="D428" s="122"/>
      <c r="E428" s="555" t="s">
        <v>1229</v>
      </c>
      <c r="F428" s="552">
        <f>1.5*1.2*2*2*1.13*43*10</f>
        <v>3498.4799999999996</v>
      </c>
      <c r="G428" s="436">
        <v>0.1</v>
      </c>
      <c r="H428" s="539">
        <f t="shared" si="143"/>
        <v>3848.328</v>
      </c>
      <c r="I428" s="540" t="s">
        <v>427</v>
      </c>
      <c r="J428" s="553">
        <f t="shared" ref="J428:J432" si="145">$J$15</f>
        <v>0</v>
      </c>
      <c r="K428" s="554">
        <f t="shared" si="144"/>
        <v>0</v>
      </c>
      <c r="L428" s="120"/>
      <c r="M428" s="558"/>
    </row>
    <row r="429" spans="1:13" s="187" customFormat="1" x14ac:dyDescent="0.2">
      <c r="A429" s="111">
        <f>IF(F429&lt;&gt;"",1+MAX($A$6:A428),"")</f>
        <v>338</v>
      </c>
      <c r="B429" s="533" t="s">
        <v>1177</v>
      </c>
      <c r="C429" s="534" t="s">
        <v>1026</v>
      </c>
      <c r="D429" s="122"/>
      <c r="E429" s="555" t="s">
        <v>1230</v>
      </c>
      <c r="F429" s="552">
        <f>6*10*1.5*1.2*2</f>
        <v>216</v>
      </c>
      <c r="G429" s="436">
        <v>0.1</v>
      </c>
      <c r="H429" s="539">
        <f t="shared" si="143"/>
        <v>237.60000000000002</v>
      </c>
      <c r="I429" s="540" t="s">
        <v>427</v>
      </c>
      <c r="J429" s="553">
        <f t="shared" si="145"/>
        <v>0</v>
      </c>
      <c r="K429" s="554">
        <f t="shared" si="144"/>
        <v>0</v>
      </c>
      <c r="L429" s="120"/>
      <c r="M429" s="558"/>
    </row>
    <row r="430" spans="1:13" s="187" customFormat="1" x14ac:dyDescent="0.2">
      <c r="A430" s="111">
        <f>IF(F430&lt;&gt;"",1+MAX($A$6:A429),"")</f>
        <v>339</v>
      </c>
      <c r="B430" s="533" t="s">
        <v>1177</v>
      </c>
      <c r="C430" s="534" t="s">
        <v>1026</v>
      </c>
      <c r="D430" s="122"/>
      <c r="E430" s="555" t="s">
        <v>1222</v>
      </c>
      <c r="F430" s="552">
        <f>(43/1+1)*7.5*1.043*1.2*2</f>
        <v>826.05599999999993</v>
      </c>
      <c r="G430" s="436">
        <v>0.1</v>
      </c>
      <c r="H430" s="539">
        <f t="shared" si="143"/>
        <v>908.66160000000002</v>
      </c>
      <c r="I430" s="540" t="s">
        <v>427</v>
      </c>
      <c r="J430" s="553">
        <f t="shared" si="145"/>
        <v>0</v>
      </c>
      <c r="K430" s="554">
        <f t="shared" si="144"/>
        <v>0</v>
      </c>
      <c r="L430" s="120"/>
      <c r="M430" s="558"/>
    </row>
    <row r="431" spans="1:13" s="187" customFormat="1" x14ac:dyDescent="0.2">
      <c r="A431" s="111">
        <f>IF(F431&lt;&gt;"",1+MAX($A$6:A430),"")</f>
        <v>340</v>
      </c>
      <c r="B431" s="533" t="s">
        <v>1177</v>
      </c>
      <c r="C431" s="534" t="s">
        <v>1026</v>
      </c>
      <c r="D431" s="122"/>
      <c r="E431" s="555" t="s">
        <v>1231</v>
      </c>
      <c r="F431" s="552">
        <f>43/1.33*3.83*1.043*1.2</f>
        <v>154.98195789473684</v>
      </c>
      <c r="G431" s="436">
        <v>0.1</v>
      </c>
      <c r="H431" s="539">
        <f t="shared" si="143"/>
        <v>170.48015368421053</v>
      </c>
      <c r="I431" s="540" t="s">
        <v>427</v>
      </c>
      <c r="J431" s="553">
        <f t="shared" si="145"/>
        <v>0</v>
      </c>
      <c r="K431" s="554">
        <f t="shared" si="144"/>
        <v>0</v>
      </c>
      <c r="L431" s="120"/>
      <c r="M431" s="558"/>
    </row>
    <row r="432" spans="1:13" s="187" customFormat="1" x14ac:dyDescent="0.2">
      <c r="A432" s="111">
        <f>IF(F432&lt;&gt;"",1+MAX($A$6:A431),"")</f>
        <v>341</v>
      </c>
      <c r="B432" s="533" t="s">
        <v>1177</v>
      </c>
      <c r="C432" s="534" t="s">
        <v>1026</v>
      </c>
      <c r="D432" s="122"/>
      <c r="E432" s="555" t="s">
        <v>1232</v>
      </c>
      <c r="F432" s="552">
        <f>10/0.25*1.5*0.668*1.2*2</f>
        <v>96.192000000000007</v>
      </c>
      <c r="G432" s="436">
        <v>0.1</v>
      </c>
      <c r="H432" s="539">
        <f t="shared" si="143"/>
        <v>105.81120000000001</v>
      </c>
      <c r="I432" s="540" t="s">
        <v>427</v>
      </c>
      <c r="J432" s="553">
        <f t="shared" si="145"/>
        <v>0</v>
      </c>
      <c r="K432" s="554">
        <f t="shared" si="144"/>
        <v>0</v>
      </c>
      <c r="L432" s="120"/>
      <c r="M432" s="558"/>
    </row>
    <row r="433" spans="1:13" s="187" customFormat="1" ht="16.5" thickBot="1" x14ac:dyDescent="0.25">
      <c r="A433" s="111" t="str">
        <f>IF(F433&lt;&gt;"",1+MAX($A$6:A432),"")</f>
        <v/>
      </c>
      <c r="B433" s="533"/>
      <c r="C433" s="534"/>
      <c r="D433" s="122"/>
      <c r="E433" s="559"/>
      <c r="F433" s="560"/>
      <c r="G433" s="436"/>
      <c r="H433" s="539"/>
      <c r="I433" s="540"/>
      <c r="J433" s="553"/>
      <c r="K433" s="554"/>
      <c r="L433" s="120"/>
      <c r="M433" s="558"/>
    </row>
    <row r="434" spans="1:13" s="187" customFormat="1" ht="16.5" thickBot="1" x14ac:dyDescent="0.25">
      <c r="A434" s="111" t="str">
        <f>IF(F434&lt;&gt;"",1+MAX($A$6:A433),"")</f>
        <v/>
      </c>
      <c r="B434" s="533"/>
      <c r="C434" s="542"/>
      <c r="D434" s="543"/>
      <c r="E434" s="561" t="s">
        <v>1142</v>
      </c>
      <c r="F434" s="537"/>
      <c r="G434" s="546"/>
      <c r="H434" s="547"/>
      <c r="I434" s="548"/>
      <c r="J434" s="226"/>
      <c r="K434" s="549"/>
      <c r="L434" s="120"/>
    </row>
    <row r="435" spans="1:13" s="187" customFormat="1" ht="78.75" x14ac:dyDescent="0.2">
      <c r="A435" s="111" t="str">
        <f>IF(F435&lt;&gt;"",1+MAX($A$6:A434),"")</f>
        <v/>
      </c>
      <c r="B435" s="533"/>
      <c r="C435" s="534"/>
      <c r="D435" s="550"/>
      <c r="E435" s="551" t="s">
        <v>1233</v>
      </c>
      <c r="F435" s="552"/>
      <c r="G435" s="127"/>
      <c r="H435" s="539"/>
      <c r="I435" s="540"/>
      <c r="J435" s="553"/>
      <c r="K435" s="554"/>
      <c r="L435" s="120"/>
    </row>
    <row r="436" spans="1:13" s="187" customFormat="1" x14ac:dyDescent="0.2">
      <c r="A436" s="111">
        <f>IF(F436&lt;&gt;"",1+MAX($A$6:A435),"")</f>
        <v>342</v>
      </c>
      <c r="B436" s="533" t="s">
        <v>1177</v>
      </c>
      <c r="C436" s="534" t="s">
        <v>1026</v>
      </c>
      <c r="D436" s="122"/>
      <c r="E436" s="555" t="s">
        <v>1027</v>
      </c>
      <c r="F436" s="552">
        <f>3*1.5*10*1/27</f>
        <v>1.6666666666666667</v>
      </c>
      <c r="G436" s="436">
        <v>0.1</v>
      </c>
      <c r="H436" s="539">
        <f t="shared" ref="H436:H439" si="146">F436*(1+G436)</f>
        <v>1.8333333333333335</v>
      </c>
      <c r="I436" s="540" t="s">
        <v>1028</v>
      </c>
      <c r="J436" s="553">
        <f>$J$11</f>
        <v>0</v>
      </c>
      <c r="K436" s="554">
        <f t="shared" ref="K436:K439" si="147">J436*H436</f>
        <v>0</v>
      </c>
      <c r="L436" s="120"/>
      <c r="M436" s="558"/>
    </row>
    <row r="437" spans="1:13" s="187" customFormat="1" x14ac:dyDescent="0.2">
      <c r="A437" s="111">
        <f>IF(F437&lt;&gt;"",1+MAX($A$6:A436),"")</f>
        <v>343</v>
      </c>
      <c r="B437" s="533" t="s">
        <v>1177</v>
      </c>
      <c r="C437" s="534" t="s">
        <v>1026</v>
      </c>
      <c r="D437" s="122"/>
      <c r="E437" s="555" t="s">
        <v>1144</v>
      </c>
      <c r="F437" s="552">
        <f>2*9.5*10*1</f>
        <v>190</v>
      </c>
      <c r="G437" s="436">
        <v>0.1</v>
      </c>
      <c r="H437" s="539">
        <f t="shared" si="146"/>
        <v>209.00000000000003</v>
      </c>
      <c r="I437" s="540" t="s">
        <v>1030</v>
      </c>
      <c r="J437" s="553">
        <f>J$303</f>
        <v>0</v>
      </c>
      <c r="K437" s="554">
        <f t="shared" si="147"/>
        <v>0</v>
      </c>
      <c r="L437" s="120"/>
      <c r="M437" s="558"/>
    </row>
    <row r="438" spans="1:13" s="187" customFormat="1" x14ac:dyDescent="0.2">
      <c r="A438" s="111">
        <f>IF(F438&lt;&gt;"",1+MAX($A$6:A437),"")</f>
        <v>344</v>
      </c>
      <c r="B438" s="533" t="s">
        <v>1177</v>
      </c>
      <c r="C438" s="534" t="s">
        <v>1026</v>
      </c>
      <c r="D438" s="122"/>
      <c r="E438" s="555" t="s">
        <v>1145</v>
      </c>
      <c r="F438" s="552">
        <f>8*15*3.4*1.2*1</f>
        <v>489.59999999999997</v>
      </c>
      <c r="G438" s="436">
        <v>0.1</v>
      </c>
      <c r="H438" s="539">
        <f t="shared" si="146"/>
        <v>538.56000000000006</v>
      </c>
      <c r="I438" s="540" t="s">
        <v>427</v>
      </c>
      <c r="J438" s="553">
        <f t="shared" ref="J438:J439" si="148">$J$15</f>
        <v>0</v>
      </c>
      <c r="K438" s="554">
        <f t="shared" si="147"/>
        <v>0</v>
      </c>
      <c r="L438" s="120"/>
      <c r="M438" s="558"/>
    </row>
    <row r="439" spans="1:13" s="187" customFormat="1" x14ac:dyDescent="0.2">
      <c r="A439" s="111">
        <f>IF(F439&lt;&gt;"",1+MAX($A$6:A438),"")</f>
        <v>345</v>
      </c>
      <c r="B439" s="533" t="s">
        <v>1177</v>
      </c>
      <c r="C439" s="534" t="s">
        <v>1026</v>
      </c>
      <c r="D439" s="122"/>
      <c r="E439" s="555" t="s">
        <v>1146</v>
      </c>
      <c r="F439" s="552">
        <f>(10/0.5+1)*(2*3+4*1.5+0.5*3)*0.668*1.2*1</f>
        <v>227.25360000000001</v>
      </c>
      <c r="G439" s="436">
        <v>0.1</v>
      </c>
      <c r="H439" s="539">
        <f t="shared" si="146"/>
        <v>249.97896000000003</v>
      </c>
      <c r="I439" s="540" t="s">
        <v>427</v>
      </c>
      <c r="J439" s="553">
        <f t="shared" si="148"/>
        <v>0</v>
      </c>
      <c r="K439" s="554">
        <f t="shared" si="147"/>
        <v>0</v>
      </c>
      <c r="L439" s="120"/>
      <c r="M439" s="558"/>
    </row>
    <row r="440" spans="1:13" s="187" customFormat="1" ht="78.75" x14ac:dyDescent="0.2">
      <c r="A440" s="111" t="str">
        <f>IF(F440&lt;&gt;"",1+MAX($A$6:A439),"")</f>
        <v/>
      </c>
      <c r="B440" s="533"/>
      <c r="C440" s="534"/>
      <c r="D440" s="550"/>
      <c r="E440" s="551" t="s">
        <v>1234</v>
      </c>
      <c r="F440" s="552"/>
      <c r="G440" s="127"/>
      <c r="H440" s="539"/>
      <c r="I440" s="540"/>
      <c r="J440" s="553"/>
      <c r="K440" s="554"/>
      <c r="L440" s="120"/>
    </row>
    <row r="441" spans="1:13" s="187" customFormat="1" x14ac:dyDescent="0.2">
      <c r="A441" s="111">
        <f>IF(F441&lt;&gt;"",1+MAX($A$6:A440),"")</f>
        <v>346</v>
      </c>
      <c r="B441" s="533" t="s">
        <v>1177</v>
      </c>
      <c r="C441" s="534" t="s">
        <v>1026</v>
      </c>
      <c r="D441" s="122"/>
      <c r="E441" s="555" t="s">
        <v>1027</v>
      </c>
      <c r="F441" s="552">
        <f>2*1.33*10*7/27</f>
        <v>6.8962962962962973</v>
      </c>
      <c r="G441" s="436">
        <v>0.1</v>
      </c>
      <c r="H441" s="539">
        <f t="shared" ref="H441:H444" si="149">F441*(1+G441)</f>
        <v>7.5859259259259275</v>
      </c>
      <c r="I441" s="540" t="s">
        <v>1028</v>
      </c>
      <c r="J441" s="553">
        <f>$J$11</f>
        <v>0</v>
      </c>
      <c r="K441" s="554">
        <f t="shared" ref="K441:K444" si="150">J441*H441</f>
        <v>0</v>
      </c>
      <c r="L441" s="120"/>
      <c r="M441" s="558"/>
    </row>
    <row r="442" spans="1:13" s="187" customFormat="1" x14ac:dyDescent="0.2">
      <c r="A442" s="111">
        <f>IF(F442&lt;&gt;"",1+MAX($A$6:A441),"")</f>
        <v>347</v>
      </c>
      <c r="B442" s="533" t="s">
        <v>1177</v>
      </c>
      <c r="C442" s="534" t="s">
        <v>1026</v>
      </c>
      <c r="D442" s="122"/>
      <c r="E442" s="555" t="s">
        <v>1144</v>
      </c>
      <c r="F442" s="552">
        <f>2*(2+1.33)*10*7</f>
        <v>466.19999999999993</v>
      </c>
      <c r="G442" s="436">
        <v>0.1</v>
      </c>
      <c r="H442" s="539">
        <f t="shared" si="149"/>
        <v>512.81999999999994</v>
      </c>
      <c r="I442" s="540" t="s">
        <v>1030</v>
      </c>
      <c r="J442" s="553">
        <f>J$303</f>
        <v>0</v>
      </c>
      <c r="K442" s="554">
        <f t="shared" si="150"/>
        <v>0</v>
      </c>
      <c r="L442" s="120"/>
      <c r="M442" s="558"/>
    </row>
    <row r="443" spans="1:13" s="187" customFormat="1" x14ac:dyDescent="0.2">
      <c r="A443" s="111">
        <f>IF(F443&lt;&gt;"",1+MAX($A$6:A442),"")</f>
        <v>348</v>
      </c>
      <c r="B443" s="533" t="s">
        <v>1177</v>
      </c>
      <c r="C443" s="534" t="s">
        <v>1026</v>
      </c>
      <c r="D443" s="122"/>
      <c r="E443" s="555" t="s">
        <v>1148</v>
      </c>
      <c r="F443" s="552">
        <f>6*15*3.4*1.2*7</f>
        <v>2570.4</v>
      </c>
      <c r="G443" s="436">
        <v>0.1</v>
      </c>
      <c r="H443" s="539">
        <f t="shared" si="149"/>
        <v>2827.4400000000005</v>
      </c>
      <c r="I443" s="540" t="s">
        <v>427</v>
      </c>
      <c r="J443" s="553">
        <f t="shared" ref="J443:J444" si="151">$J$15</f>
        <v>0</v>
      </c>
      <c r="K443" s="554">
        <f t="shared" si="150"/>
        <v>0</v>
      </c>
      <c r="L443" s="120"/>
      <c r="M443" s="558"/>
    </row>
    <row r="444" spans="1:13" s="187" customFormat="1" x14ac:dyDescent="0.2">
      <c r="A444" s="111">
        <f>IF(F444&lt;&gt;"",1+MAX($A$6:A443),"")</f>
        <v>349</v>
      </c>
      <c r="B444" s="533" t="s">
        <v>1177</v>
      </c>
      <c r="C444" s="534" t="s">
        <v>1026</v>
      </c>
      <c r="D444" s="122"/>
      <c r="E444" s="555" t="s">
        <v>1235</v>
      </c>
      <c r="F444" s="552">
        <f>(10/0.42+1)*(2*2+3*1.5+0.5*2)*0.668*1.2*7</f>
        <v>1322.5064000000002</v>
      </c>
      <c r="G444" s="436">
        <v>0.1</v>
      </c>
      <c r="H444" s="539">
        <f t="shared" si="149"/>
        <v>1454.7570400000004</v>
      </c>
      <c r="I444" s="540" t="s">
        <v>427</v>
      </c>
      <c r="J444" s="553">
        <f t="shared" si="151"/>
        <v>0</v>
      </c>
      <c r="K444" s="554">
        <f t="shared" si="150"/>
        <v>0</v>
      </c>
      <c r="L444" s="120"/>
      <c r="M444" s="558"/>
    </row>
    <row r="445" spans="1:13" s="187" customFormat="1" ht="78.75" x14ac:dyDescent="0.2">
      <c r="A445" s="111" t="str">
        <f>IF(F445&lt;&gt;"",1+MAX($A$6:A444),"")</f>
        <v/>
      </c>
      <c r="B445" s="533"/>
      <c r="C445" s="534"/>
      <c r="D445" s="550"/>
      <c r="E445" s="551" t="s">
        <v>1236</v>
      </c>
      <c r="F445" s="552"/>
      <c r="G445" s="127"/>
      <c r="H445" s="539"/>
      <c r="I445" s="540"/>
      <c r="J445" s="553"/>
      <c r="K445" s="554"/>
      <c r="L445" s="120"/>
    </row>
    <row r="446" spans="1:13" s="187" customFormat="1" x14ac:dyDescent="0.2">
      <c r="A446" s="111">
        <f>IF(F446&lt;&gt;"",1+MAX($A$6:A445),"")</f>
        <v>350</v>
      </c>
      <c r="B446" s="533" t="s">
        <v>1177</v>
      </c>
      <c r="C446" s="534" t="s">
        <v>1026</v>
      </c>
      <c r="D446" s="122"/>
      <c r="E446" s="555" t="s">
        <v>1027</v>
      </c>
      <c r="F446" s="552">
        <f>3.5*0.83*10*4/27</f>
        <v>4.3037037037037029</v>
      </c>
      <c r="G446" s="436">
        <v>0.1</v>
      </c>
      <c r="H446" s="539">
        <f t="shared" ref="H446:H449" si="152">F446*(1+G446)</f>
        <v>4.7340740740740737</v>
      </c>
      <c r="I446" s="540" t="s">
        <v>1028</v>
      </c>
      <c r="J446" s="553">
        <f>$J$11</f>
        <v>0</v>
      </c>
      <c r="K446" s="554">
        <f t="shared" ref="K446:K449" si="153">J446*H446</f>
        <v>0</v>
      </c>
      <c r="L446" s="120"/>
      <c r="M446" s="558"/>
    </row>
    <row r="447" spans="1:13" s="187" customFormat="1" x14ac:dyDescent="0.2">
      <c r="A447" s="111">
        <f>IF(F447&lt;&gt;"",1+MAX($A$6:A446),"")</f>
        <v>351</v>
      </c>
      <c r="B447" s="533" t="s">
        <v>1177</v>
      </c>
      <c r="C447" s="534" t="s">
        <v>1026</v>
      </c>
      <c r="D447" s="122"/>
      <c r="E447" s="555" t="s">
        <v>1144</v>
      </c>
      <c r="F447" s="552">
        <f>2*(3.5+0.83)*10*4</f>
        <v>346.4</v>
      </c>
      <c r="G447" s="436">
        <v>0.1</v>
      </c>
      <c r="H447" s="539">
        <f t="shared" si="152"/>
        <v>381.04</v>
      </c>
      <c r="I447" s="540" t="s">
        <v>1030</v>
      </c>
      <c r="J447" s="553">
        <f>J$303</f>
        <v>0</v>
      </c>
      <c r="K447" s="554">
        <f t="shared" si="153"/>
        <v>0</v>
      </c>
      <c r="L447" s="120"/>
      <c r="M447" s="558"/>
    </row>
    <row r="448" spans="1:13" s="187" customFormat="1" x14ac:dyDescent="0.2">
      <c r="A448" s="111">
        <f>IF(F448&lt;&gt;"",1+MAX($A$6:A447),"")</f>
        <v>352</v>
      </c>
      <c r="B448" s="533" t="s">
        <v>1177</v>
      </c>
      <c r="C448" s="534" t="s">
        <v>1026</v>
      </c>
      <c r="D448" s="122"/>
      <c r="E448" s="555" t="s">
        <v>1237</v>
      </c>
      <c r="F448" s="552">
        <f>8*15*2.044*1.2*4</f>
        <v>1177.3440000000001</v>
      </c>
      <c r="G448" s="436">
        <v>0.1</v>
      </c>
      <c r="H448" s="539">
        <f t="shared" si="152"/>
        <v>1295.0784000000001</v>
      </c>
      <c r="I448" s="540" t="s">
        <v>427</v>
      </c>
      <c r="J448" s="553">
        <f t="shared" ref="J448:J449" si="154">$J$15</f>
        <v>0</v>
      </c>
      <c r="K448" s="554">
        <f t="shared" si="153"/>
        <v>0</v>
      </c>
      <c r="L448" s="120"/>
      <c r="M448" s="558"/>
    </row>
    <row r="449" spans="1:13" s="187" customFormat="1" x14ac:dyDescent="0.2">
      <c r="A449" s="111">
        <f>IF(F449&lt;&gt;"",1+MAX($A$6:A448),"")</f>
        <v>353</v>
      </c>
      <c r="B449" s="533" t="s">
        <v>1177</v>
      </c>
      <c r="C449" s="534" t="s">
        <v>1026</v>
      </c>
      <c r="D449" s="122"/>
      <c r="E449" s="555" t="s">
        <v>1238</v>
      </c>
      <c r="F449" s="552">
        <f>(10/0.5+1)*(2*3.5+4*0.83+0.5*3)*0.668*1.2*4</f>
        <v>795.89260800000011</v>
      </c>
      <c r="G449" s="436">
        <v>0.1</v>
      </c>
      <c r="H449" s="539">
        <f t="shared" si="152"/>
        <v>875.48186880000014</v>
      </c>
      <c r="I449" s="540" t="s">
        <v>427</v>
      </c>
      <c r="J449" s="553">
        <f t="shared" si="154"/>
        <v>0</v>
      </c>
      <c r="K449" s="554">
        <f t="shared" si="153"/>
        <v>0</v>
      </c>
      <c r="L449" s="120"/>
      <c r="M449" s="558"/>
    </row>
    <row r="450" spans="1:13" s="187" customFormat="1" ht="63" x14ac:dyDescent="0.2">
      <c r="A450" s="111" t="str">
        <f>IF(F450&lt;&gt;"",1+MAX($A$6:A449),"")</f>
        <v/>
      </c>
      <c r="B450" s="533"/>
      <c r="C450" s="534"/>
      <c r="D450" s="550"/>
      <c r="E450" s="551" t="s">
        <v>1239</v>
      </c>
      <c r="F450" s="552"/>
      <c r="G450" s="127"/>
      <c r="H450" s="539"/>
      <c r="I450" s="540"/>
      <c r="J450" s="553"/>
      <c r="K450" s="554"/>
      <c r="L450" s="120"/>
    </row>
    <row r="451" spans="1:13" s="187" customFormat="1" x14ac:dyDescent="0.2">
      <c r="A451" s="111">
        <f>IF(F451&lt;&gt;"",1+MAX($A$6:A450),"")</f>
        <v>354</v>
      </c>
      <c r="B451" s="533" t="s">
        <v>1177</v>
      </c>
      <c r="C451" s="534" t="s">
        <v>1026</v>
      </c>
      <c r="D451" s="122"/>
      <c r="E451" s="555" t="s">
        <v>1027</v>
      </c>
      <c r="F451" s="564">
        <f>3.14*1*1*0.25*10/27</f>
        <v>0.29074074074074074</v>
      </c>
      <c r="G451" s="436">
        <v>0.1</v>
      </c>
      <c r="H451" s="565">
        <f t="shared" ref="H451:H454" si="155">F451*(1+G451)</f>
        <v>0.31981481481481483</v>
      </c>
      <c r="I451" s="540" t="s">
        <v>1028</v>
      </c>
      <c r="J451" s="553">
        <f>$J$11</f>
        <v>0</v>
      </c>
      <c r="K451" s="554">
        <f t="shared" ref="K451:K454" si="156">J451*H451</f>
        <v>0</v>
      </c>
      <c r="L451" s="120"/>
      <c r="M451" s="558"/>
    </row>
    <row r="452" spans="1:13" s="187" customFormat="1" x14ac:dyDescent="0.2">
      <c r="A452" s="111">
        <f>IF(F452&lt;&gt;"",1+MAX($A$6:A451),"")</f>
        <v>355</v>
      </c>
      <c r="B452" s="533" t="s">
        <v>1177</v>
      </c>
      <c r="C452" s="534" t="s">
        <v>1026</v>
      </c>
      <c r="D452" s="122"/>
      <c r="E452" s="555" t="s">
        <v>1151</v>
      </c>
      <c r="F452" s="552">
        <f>3.14*1*10</f>
        <v>31.400000000000002</v>
      </c>
      <c r="G452" s="436">
        <v>0.1</v>
      </c>
      <c r="H452" s="539">
        <f t="shared" si="155"/>
        <v>34.540000000000006</v>
      </c>
      <c r="I452" s="540" t="s">
        <v>1030</v>
      </c>
      <c r="J452" s="553">
        <f>$J$313</f>
        <v>0</v>
      </c>
      <c r="K452" s="554">
        <f t="shared" si="156"/>
        <v>0</v>
      </c>
      <c r="L452" s="120"/>
      <c r="M452" s="558"/>
    </row>
    <row r="453" spans="1:13" s="187" customFormat="1" x14ac:dyDescent="0.2">
      <c r="A453" s="111">
        <f>IF(F453&lt;&gt;"",1+MAX($A$6:A452),"")</f>
        <v>356</v>
      </c>
      <c r="B453" s="533" t="s">
        <v>1177</v>
      </c>
      <c r="C453" s="534" t="s">
        <v>1026</v>
      </c>
      <c r="D453" s="122"/>
      <c r="E453" s="555" t="s">
        <v>1152</v>
      </c>
      <c r="F453" s="552">
        <f>4*15*2.67*1.2</f>
        <v>192.23999999999998</v>
      </c>
      <c r="G453" s="436">
        <v>0.1</v>
      </c>
      <c r="H453" s="539">
        <f t="shared" si="155"/>
        <v>211.464</v>
      </c>
      <c r="I453" s="540" t="s">
        <v>427</v>
      </c>
      <c r="J453" s="553">
        <f t="shared" ref="J453:J454" si="157">$J$15</f>
        <v>0</v>
      </c>
      <c r="K453" s="554">
        <f t="shared" si="156"/>
        <v>0</v>
      </c>
      <c r="L453" s="120"/>
      <c r="M453" s="558"/>
    </row>
    <row r="454" spans="1:13" s="187" customFormat="1" x14ac:dyDescent="0.2">
      <c r="A454" s="111">
        <f>IF(F454&lt;&gt;"",1+MAX($A$6:A453),"")</f>
        <v>357</v>
      </c>
      <c r="B454" s="533" t="s">
        <v>1177</v>
      </c>
      <c r="C454" s="534" t="s">
        <v>1026</v>
      </c>
      <c r="D454" s="122"/>
      <c r="E454" s="555" t="s">
        <v>1153</v>
      </c>
      <c r="F454" s="552">
        <f>10/0.42*3.14*1*0.376*1.2</f>
        <v>33.732571428571433</v>
      </c>
      <c r="G454" s="436">
        <v>0.1</v>
      </c>
      <c r="H454" s="539">
        <f t="shared" si="155"/>
        <v>37.105828571428582</v>
      </c>
      <c r="I454" s="540" t="s">
        <v>427</v>
      </c>
      <c r="J454" s="553">
        <f t="shared" si="157"/>
        <v>0</v>
      </c>
      <c r="K454" s="554">
        <f t="shared" si="156"/>
        <v>0</v>
      </c>
      <c r="L454" s="120"/>
      <c r="M454" s="558"/>
    </row>
    <row r="455" spans="1:13" s="187" customFormat="1" ht="78.75" x14ac:dyDescent="0.2">
      <c r="A455" s="111" t="str">
        <f>IF(F455&lt;&gt;"",1+MAX($A$6:A454),"")</f>
        <v/>
      </c>
      <c r="B455" s="533"/>
      <c r="C455" s="534"/>
      <c r="D455" s="550"/>
      <c r="E455" s="551" t="s">
        <v>1240</v>
      </c>
      <c r="F455" s="552"/>
      <c r="G455" s="127"/>
      <c r="H455" s="539"/>
      <c r="I455" s="540"/>
      <c r="J455" s="553"/>
      <c r="K455" s="554"/>
      <c r="L455" s="120"/>
    </row>
    <row r="456" spans="1:13" s="187" customFormat="1" x14ac:dyDescent="0.2">
      <c r="A456" s="111">
        <f>IF(F456&lt;&gt;"",1+MAX($A$6:A455),"")</f>
        <v>358</v>
      </c>
      <c r="B456" s="533" t="s">
        <v>1177</v>
      </c>
      <c r="C456" s="534" t="s">
        <v>1026</v>
      </c>
      <c r="D456" s="122"/>
      <c r="E456" s="555" t="s">
        <v>1027</v>
      </c>
      <c r="F456" s="552">
        <f>3*0.67*10*2/27</f>
        <v>1.4888888888888889</v>
      </c>
      <c r="G456" s="436">
        <v>0.1</v>
      </c>
      <c r="H456" s="539">
        <f t="shared" ref="H456:H459" si="158">F456*(1+G456)</f>
        <v>1.637777777777778</v>
      </c>
      <c r="I456" s="540" t="s">
        <v>1028</v>
      </c>
      <c r="J456" s="553">
        <f>$J$11</f>
        <v>0</v>
      </c>
      <c r="K456" s="554">
        <f t="shared" ref="K456:K459" si="159">J456*H456</f>
        <v>0</v>
      </c>
      <c r="L456" s="120"/>
      <c r="M456" s="558"/>
    </row>
    <row r="457" spans="1:13" s="187" customFormat="1" x14ac:dyDescent="0.2">
      <c r="A457" s="111">
        <f>IF(F457&lt;&gt;"",1+MAX($A$6:A456),"")</f>
        <v>359</v>
      </c>
      <c r="B457" s="533" t="s">
        <v>1177</v>
      </c>
      <c r="C457" s="534" t="s">
        <v>1026</v>
      </c>
      <c r="D457" s="122"/>
      <c r="E457" s="555" t="s">
        <v>1144</v>
      </c>
      <c r="F457" s="552">
        <f>2*(3+0.67)*10*2</f>
        <v>146.80000000000001</v>
      </c>
      <c r="G457" s="436">
        <v>0.1</v>
      </c>
      <c r="H457" s="539">
        <f t="shared" si="158"/>
        <v>161.48000000000002</v>
      </c>
      <c r="I457" s="540" t="s">
        <v>1030</v>
      </c>
      <c r="J457" s="553">
        <f>J$303</f>
        <v>0</v>
      </c>
      <c r="K457" s="554">
        <f t="shared" si="159"/>
        <v>0</v>
      </c>
      <c r="L457" s="120"/>
      <c r="M457" s="558"/>
    </row>
    <row r="458" spans="1:13" s="187" customFormat="1" x14ac:dyDescent="0.2">
      <c r="A458" s="111">
        <f>IF(F458&lt;&gt;"",1+MAX($A$6:A457),"")</f>
        <v>360</v>
      </c>
      <c r="B458" s="533" t="s">
        <v>1177</v>
      </c>
      <c r="C458" s="534" t="s">
        <v>1026</v>
      </c>
      <c r="D458" s="122"/>
      <c r="E458" s="555" t="s">
        <v>1241</v>
      </c>
      <c r="F458" s="552">
        <f>8*15*1.5*1.2*2</f>
        <v>432</v>
      </c>
      <c r="G458" s="436">
        <v>0.1</v>
      </c>
      <c r="H458" s="539">
        <f t="shared" si="158"/>
        <v>475.20000000000005</v>
      </c>
      <c r="I458" s="540" t="s">
        <v>427</v>
      </c>
      <c r="J458" s="553">
        <f t="shared" ref="J458:J459" si="160">$J$15</f>
        <v>0</v>
      </c>
      <c r="K458" s="554">
        <f t="shared" si="159"/>
        <v>0</v>
      </c>
      <c r="L458" s="120"/>
      <c r="M458" s="558"/>
    </row>
    <row r="459" spans="1:13" s="187" customFormat="1" x14ac:dyDescent="0.2">
      <c r="A459" s="111">
        <f>IF(F459&lt;&gt;"",1+MAX($A$6:A458),"")</f>
        <v>361</v>
      </c>
      <c r="B459" s="533" t="s">
        <v>1177</v>
      </c>
      <c r="C459" s="534" t="s">
        <v>1026</v>
      </c>
      <c r="D459" s="122"/>
      <c r="E459" s="555" t="s">
        <v>1238</v>
      </c>
      <c r="F459" s="552">
        <f>(10/0.5+1)*(2*3+4*0.67+0.5*3)*0.668*1.2*2</f>
        <v>342.73209600000001</v>
      </c>
      <c r="G459" s="436">
        <v>0.1</v>
      </c>
      <c r="H459" s="539">
        <f t="shared" si="158"/>
        <v>377.00530560000004</v>
      </c>
      <c r="I459" s="540" t="s">
        <v>427</v>
      </c>
      <c r="J459" s="553">
        <f t="shared" si="160"/>
        <v>0</v>
      </c>
      <c r="K459" s="554">
        <f t="shared" si="159"/>
        <v>0</v>
      </c>
      <c r="L459" s="120"/>
      <c r="M459" s="558"/>
    </row>
    <row r="460" spans="1:13" s="187" customFormat="1" ht="78.75" x14ac:dyDescent="0.2">
      <c r="A460" s="111" t="str">
        <f>IF(F460&lt;&gt;"",1+MAX($A$6:A459),"")</f>
        <v/>
      </c>
      <c r="B460" s="533"/>
      <c r="C460" s="534"/>
      <c r="D460" s="550"/>
      <c r="E460" s="551" t="s">
        <v>1242</v>
      </c>
      <c r="F460" s="552"/>
      <c r="G460" s="127"/>
      <c r="H460" s="539"/>
      <c r="I460" s="540"/>
      <c r="J460" s="553"/>
      <c r="K460" s="554"/>
      <c r="L460" s="120"/>
    </row>
    <row r="461" spans="1:13" s="187" customFormat="1" x14ac:dyDescent="0.2">
      <c r="A461" s="111">
        <f>IF(F461&lt;&gt;"",1+MAX($A$6:A460),"")</f>
        <v>362</v>
      </c>
      <c r="B461" s="533" t="s">
        <v>1177</v>
      </c>
      <c r="C461" s="534" t="s">
        <v>1026</v>
      </c>
      <c r="D461" s="122"/>
      <c r="E461" s="555" t="s">
        <v>1027</v>
      </c>
      <c r="F461" s="552">
        <f>1*1*10*2/27</f>
        <v>0.7407407407407407</v>
      </c>
      <c r="G461" s="436">
        <v>0.1</v>
      </c>
      <c r="H461" s="539">
        <f t="shared" ref="H461:H464" si="161">F461*(1+G461)</f>
        <v>0.81481481481481488</v>
      </c>
      <c r="I461" s="540" t="s">
        <v>1028</v>
      </c>
      <c r="J461" s="553">
        <f>$J$11</f>
        <v>0</v>
      </c>
      <c r="K461" s="554">
        <f t="shared" ref="K461:K464" si="162">J461*H461</f>
        <v>0</v>
      </c>
      <c r="L461" s="120"/>
      <c r="M461" s="558"/>
    </row>
    <row r="462" spans="1:13" s="187" customFormat="1" x14ac:dyDescent="0.2">
      <c r="A462" s="111">
        <f>IF(F462&lt;&gt;"",1+MAX($A$6:A461),"")</f>
        <v>363</v>
      </c>
      <c r="B462" s="533" t="s">
        <v>1177</v>
      </c>
      <c r="C462" s="534" t="s">
        <v>1026</v>
      </c>
      <c r="D462" s="122"/>
      <c r="E462" s="555" t="s">
        <v>1144</v>
      </c>
      <c r="F462" s="552">
        <f>4*1*10*2</f>
        <v>80</v>
      </c>
      <c r="G462" s="436">
        <v>0.1</v>
      </c>
      <c r="H462" s="539">
        <f t="shared" si="161"/>
        <v>88</v>
      </c>
      <c r="I462" s="540" t="s">
        <v>1030</v>
      </c>
      <c r="J462" s="553">
        <f>J$303</f>
        <v>0</v>
      </c>
      <c r="K462" s="554">
        <f t="shared" si="162"/>
        <v>0</v>
      </c>
      <c r="L462" s="120"/>
      <c r="M462" s="558"/>
    </row>
    <row r="463" spans="1:13" s="187" customFormat="1" x14ac:dyDescent="0.2">
      <c r="A463" s="111">
        <f>IF(F463&lt;&gt;"",1+MAX($A$6:A462),"")</f>
        <v>364</v>
      </c>
      <c r="B463" s="533" t="s">
        <v>1177</v>
      </c>
      <c r="C463" s="534" t="s">
        <v>1026</v>
      </c>
      <c r="D463" s="122"/>
      <c r="E463" s="555" t="s">
        <v>1152</v>
      </c>
      <c r="F463" s="552">
        <f>4*15*2.67*1.2*2</f>
        <v>384.47999999999996</v>
      </c>
      <c r="G463" s="436">
        <v>0.1</v>
      </c>
      <c r="H463" s="539">
        <f t="shared" si="161"/>
        <v>422.928</v>
      </c>
      <c r="I463" s="540" t="s">
        <v>427</v>
      </c>
      <c r="J463" s="553">
        <f t="shared" ref="J463:J464" si="163">$J$15</f>
        <v>0</v>
      </c>
      <c r="K463" s="554">
        <f t="shared" si="162"/>
        <v>0</v>
      </c>
      <c r="L463" s="120"/>
      <c r="M463" s="558"/>
    </row>
    <row r="464" spans="1:13" s="187" customFormat="1" x14ac:dyDescent="0.2">
      <c r="A464" s="111">
        <f>IF(F464&lt;&gt;"",1+MAX($A$6:A463),"")</f>
        <v>365</v>
      </c>
      <c r="B464" s="533" t="s">
        <v>1177</v>
      </c>
      <c r="C464" s="534" t="s">
        <v>1026</v>
      </c>
      <c r="D464" s="122"/>
      <c r="E464" s="555" t="s">
        <v>1243</v>
      </c>
      <c r="F464" s="552">
        <f>(10/0.5+1)*(2*1+2*1+0.5*1)*0.376*1.2*2</f>
        <v>85.276800000000009</v>
      </c>
      <c r="G464" s="436">
        <v>0.1</v>
      </c>
      <c r="H464" s="539">
        <f t="shared" si="161"/>
        <v>93.804480000000012</v>
      </c>
      <c r="I464" s="540" t="s">
        <v>427</v>
      </c>
      <c r="J464" s="553">
        <f t="shared" si="163"/>
        <v>0</v>
      </c>
      <c r="K464" s="554">
        <f t="shared" si="162"/>
        <v>0</v>
      </c>
      <c r="L464" s="120"/>
      <c r="M464" s="558"/>
    </row>
    <row r="465" spans="1:13" s="187" customFormat="1" ht="78.75" x14ac:dyDescent="0.2">
      <c r="A465" s="111" t="str">
        <f>IF(F465&lt;&gt;"",1+MAX($A$6:A464),"")</f>
        <v/>
      </c>
      <c r="B465" s="533"/>
      <c r="C465" s="534"/>
      <c r="D465" s="550"/>
      <c r="E465" s="551" t="s">
        <v>1244</v>
      </c>
      <c r="F465" s="552"/>
      <c r="G465" s="127"/>
      <c r="H465" s="539"/>
      <c r="I465" s="540"/>
      <c r="J465" s="553"/>
      <c r="K465" s="554"/>
      <c r="L465" s="120"/>
    </row>
    <row r="466" spans="1:13" s="187" customFormat="1" x14ac:dyDescent="0.2">
      <c r="A466" s="111">
        <f>IF(F466&lt;&gt;"",1+MAX($A$6:A465),"")</f>
        <v>366</v>
      </c>
      <c r="B466" s="533" t="s">
        <v>1177</v>
      </c>
      <c r="C466" s="534" t="s">
        <v>1026</v>
      </c>
      <c r="D466" s="122"/>
      <c r="E466" s="555" t="s">
        <v>1027</v>
      </c>
      <c r="F466" s="552">
        <f>1*0.83*10*4/27</f>
        <v>1.2296296296296294</v>
      </c>
      <c r="G466" s="436">
        <v>0.1</v>
      </c>
      <c r="H466" s="539">
        <f t="shared" ref="H466:H469" si="164">F466*(1+G466)</f>
        <v>1.3525925925925923</v>
      </c>
      <c r="I466" s="540" t="s">
        <v>1028</v>
      </c>
      <c r="J466" s="553">
        <f>$J$11</f>
        <v>0</v>
      </c>
      <c r="K466" s="554">
        <f t="shared" ref="K466:K469" si="165">J466*H466</f>
        <v>0</v>
      </c>
      <c r="L466" s="120"/>
      <c r="M466" s="558"/>
    </row>
    <row r="467" spans="1:13" s="187" customFormat="1" x14ac:dyDescent="0.2">
      <c r="A467" s="111">
        <f>IF(F467&lt;&gt;"",1+MAX($A$6:A466),"")</f>
        <v>367</v>
      </c>
      <c r="B467" s="533" t="s">
        <v>1177</v>
      </c>
      <c r="C467" s="534" t="s">
        <v>1026</v>
      </c>
      <c r="D467" s="122"/>
      <c r="E467" s="555" t="s">
        <v>1144</v>
      </c>
      <c r="F467" s="552">
        <f>2*(1+0.83)*10*4</f>
        <v>146.4</v>
      </c>
      <c r="G467" s="436">
        <v>0.1</v>
      </c>
      <c r="H467" s="539">
        <f t="shared" si="164"/>
        <v>161.04000000000002</v>
      </c>
      <c r="I467" s="540" t="s">
        <v>1030</v>
      </c>
      <c r="J467" s="553">
        <f>J$303</f>
        <v>0</v>
      </c>
      <c r="K467" s="554">
        <f t="shared" si="165"/>
        <v>0</v>
      </c>
      <c r="L467" s="120"/>
      <c r="M467" s="558"/>
    </row>
    <row r="468" spans="1:13" s="187" customFormat="1" x14ac:dyDescent="0.2">
      <c r="A468" s="111">
        <f>IF(F468&lt;&gt;"",1+MAX($A$6:A467),"")</f>
        <v>368</v>
      </c>
      <c r="B468" s="533" t="s">
        <v>1177</v>
      </c>
      <c r="C468" s="534" t="s">
        <v>1026</v>
      </c>
      <c r="D468" s="122"/>
      <c r="E468" s="555" t="s">
        <v>1245</v>
      </c>
      <c r="F468" s="552">
        <f>4*15*2.044*1.2*4</f>
        <v>588.67200000000003</v>
      </c>
      <c r="G468" s="436">
        <v>0.1</v>
      </c>
      <c r="H468" s="539">
        <f t="shared" si="164"/>
        <v>647.53920000000005</v>
      </c>
      <c r="I468" s="540" t="s">
        <v>427</v>
      </c>
      <c r="J468" s="553">
        <f t="shared" ref="J468:J469" si="166">$J$15</f>
        <v>0</v>
      </c>
      <c r="K468" s="554">
        <f t="shared" si="165"/>
        <v>0</v>
      </c>
      <c r="L468" s="120"/>
      <c r="M468" s="558"/>
    </row>
    <row r="469" spans="1:13" s="187" customFormat="1" x14ac:dyDescent="0.2">
      <c r="A469" s="111">
        <f>IF(F469&lt;&gt;"",1+MAX($A$6:A468),"")</f>
        <v>369</v>
      </c>
      <c r="B469" s="533" t="s">
        <v>1177</v>
      </c>
      <c r="C469" s="534" t="s">
        <v>1026</v>
      </c>
      <c r="D469" s="122"/>
      <c r="E469" s="555" t="s">
        <v>1238</v>
      </c>
      <c r="F469" s="552">
        <f>(10/0.42+1)*(2*1+2*0.83+0.5*1)*0.376*1.2*4</f>
        <v>186.26911085714286</v>
      </c>
      <c r="G469" s="436">
        <v>0.1</v>
      </c>
      <c r="H469" s="539">
        <f t="shared" si="164"/>
        <v>204.89602194285717</v>
      </c>
      <c r="I469" s="540" t="s">
        <v>427</v>
      </c>
      <c r="J469" s="553">
        <f t="shared" si="166"/>
        <v>0</v>
      </c>
      <c r="K469" s="554">
        <f t="shared" si="165"/>
        <v>0</v>
      </c>
      <c r="L469" s="120"/>
      <c r="M469" s="558"/>
    </row>
    <row r="470" spans="1:13" s="187" customFormat="1" ht="16.5" thickBot="1" x14ac:dyDescent="0.25">
      <c r="A470" s="111" t="str">
        <f>IF(F470&lt;&gt;"",1+MAX($A$6:A469),"")</f>
        <v/>
      </c>
      <c r="B470" s="533"/>
      <c r="C470" s="534"/>
      <c r="D470" s="122"/>
      <c r="E470" s="559"/>
      <c r="F470" s="560"/>
      <c r="G470" s="436"/>
      <c r="H470" s="539"/>
      <c r="I470" s="540"/>
      <c r="J470" s="553"/>
      <c r="K470" s="554"/>
      <c r="L470" s="120"/>
      <c r="M470" s="558"/>
    </row>
    <row r="471" spans="1:13" s="187" customFormat="1" ht="16.5" thickBot="1" x14ac:dyDescent="0.25">
      <c r="A471" s="111" t="str">
        <f>IF(F471&lt;&gt;"",1+MAX($A$6:A470),"")</f>
        <v/>
      </c>
      <c r="B471" s="533"/>
      <c r="C471" s="542"/>
      <c r="D471" s="543"/>
      <c r="E471" s="561" t="s">
        <v>1246</v>
      </c>
      <c r="F471" s="537"/>
      <c r="G471" s="546"/>
      <c r="H471" s="547"/>
      <c r="I471" s="548"/>
      <c r="J471" s="226"/>
      <c r="K471" s="549"/>
      <c r="L471" s="120"/>
    </row>
    <row r="472" spans="1:13" s="187" customFormat="1" x14ac:dyDescent="0.2">
      <c r="A472" s="111" t="str">
        <f>IF(F472&lt;&gt;"",1+MAX($A$6:A471),"")</f>
        <v/>
      </c>
      <c r="B472" s="533"/>
      <c r="C472" s="534"/>
      <c r="D472" s="567"/>
      <c r="E472" s="563" t="s">
        <v>1184</v>
      </c>
      <c r="F472" s="552"/>
      <c r="G472" s="436"/>
      <c r="H472" s="539"/>
      <c r="I472" s="540"/>
      <c r="J472" s="553"/>
      <c r="K472" s="554"/>
      <c r="L472" s="120"/>
      <c r="M472" s="558"/>
    </row>
    <row r="473" spans="1:13" s="187" customFormat="1" x14ac:dyDescent="0.2">
      <c r="A473" s="111">
        <f>IF(F473&lt;&gt;"",1+MAX($A$6:A472),"")</f>
        <v>370</v>
      </c>
      <c r="B473" s="533" t="s">
        <v>1247</v>
      </c>
      <c r="C473" s="534" t="s">
        <v>1026</v>
      </c>
      <c r="D473" s="566">
        <f>H473/27*1.5</f>
        <v>65.63333333333334</v>
      </c>
      <c r="E473" s="555" t="s">
        <v>1185</v>
      </c>
      <c r="F473" s="552">
        <v>1074</v>
      </c>
      <c r="G473" s="436">
        <v>0.1</v>
      </c>
      <c r="H473" s="539">
        <f>F473*(1+G473)</f>
        <v>1181.4000000000001</v>
      </c>
      <c r="I473" s="540" t="s">
        <v>18</v>
      </c>
      <c r="J473" s="556">
        <v>0</v>
      </c>
      <c r="K473" s="554">
        <f>J473*H473</f>
        <v>0</v>
      </c>
      <c r="L473" s="120"/>
      <c r="M473" s="558"/>
    </row>
    <row r="474" spans="1:13" s="187" customFormat="1" x14ac:dyDescent="0.2">
      <c r="A474" s="111">
        <f>IF(F474&lt;&gt;"",1+MAX($A$6:A473),"")</f>
        <v>371</v>
      </c>
      <c r="B474" s="533" t="s">
        <v>1247</v>
      </c>
      <c r="C474" s="534" t="s">
        <v>1026</v>
      </c>
      <c r="D474" s="567"/>
      <c r="E474" s="555" t="s">
        <v>1186</v>
      </c>
      <c r="F474" s="552">
        <v>131</v>
      </c>
      <c r="G474" s="436">
        <v>0.1</v>
      </c>
      <c r="H474" s="539">
        <f t="shared" ref="H474:H477" si="167">F474*(1+G474)</f>
        <v>144.10000000000002</v>
      </c>
      <c r="I474" s="540" t="s">
        <v>15</v>
      </c>
      <c r="J474" s="570">
        <f>J$359</f>
        <v>0</v>
      </c>
      <c r="K474" s="554">
        <f t="shared" ref="K474:K477" si="168">J474*H474</f>
        <v>0</v>
      </c>
      <c r="L474" s="120"/>
      <c r="M474" s="558"/>
    </row>
    <row r="475" spans="1:13" s="187" customFormat="1" x14ac:dyDescent="0.2">
      <c r="A475" s="111">
        <f>IF(F475&lt;&gt;"",1+MAX($A$6:A474),"")</f>
        <v>372</v>
      </c>
      <c r="B475" s="533" t="s">
        <v>1247</v>
      </c>
      <c r="C475" s="534" t="s">
        <v>1026</v>
      </c>
      <c r="D475" s="567"/>
      <c r="E475" s="555" t="s">
        <v>1180</v>
      </c>
      <c r="F475" s="552">
        <v>1074</v>
      </c>
      <c r="G475" s="436">
        <v>0.1</v>
      </c>
      <c r="H475" s="539">
        <f t="shared" si="167"/>
        <v>1181.4000000000001</v>
      </c>
      <c r="I475" s="540" t="s">
        <v>18</v>
      </c>
      <c r="J475" s="553">
        <f>$J$348</f>
        <v>0</v>
      </c>
      <c r="K475" s="554">
        <f t="shared" si="168"/>
        <v>0</v>
      </c>
      <c r="L475" s="120"/>
      <c r="M475" s="558"/>
    </row>
    <row r="476" spans="1:13" s="187" customFormat="1" x14ac:dyDescent="0.2">
      <c r="A476" s="111">
        <f>IF(F476&lt;&gt;"",1+MAX($A$6:A475),"")</f>
        <v>373</v>
      </c>
      <c r="B476" s="533" t="s">
        <v>1247</v>
      </c>
      <c r="C476" s="534" t="s">
        <v>1026</v>
      </c>
      <c r="D476" s="567"/>
      <c r="E476" s="555" t="s">
        <v>1158</v>
      </c>
      <c r="F476" s="552">
        <f>0.16*F475</f>
        <v>171.84</v>
      </c>
      <c r="G476" s="436">
        <v>0.1</v>
      </c>
      <c r="H476" s="539">
        <f t="shared" si="167"/>
        <v>189.02400000000003</v>
      </c>
      <c r="I476" s="540" t="s">
        <v>15</v>
      </c>
      <c r="J476" s="553">
        <f>$J$321</f>
        <v>0</v>
      </c>
      <c r="K476" s="554">
        <f t="shared" si="168"/>
        <v>0</v>
      </c>
      <c r="L476" s="120"/>
      <c r="M476" s="558"/>
    </row>
    <row r="477" spans="1:13" s="187" customFormat="1" x14ac:dyDescent="0.2">
      <c r="A477" s="111">
        <f>IF(F477&lt;&gt;"",1+MAX($A$6:A476),"")</f>
        <v>374</v>
      </c>
      <c r="B477" s="533" t="s">
        <v>1247</v>
      </c>
      <c r="C477" s="562" t="s">
        <v>437</v>
      </c>
      <c r="D477" s="122"/>
      <c r="E477" s="555" t="s">
        <v>1248</v>
      </c>
      <c r="F477" s="552">
        <f>1.5*1.2*2*2*F473/1.5</f>
        <v>5155.2</v>
      </c>
      <c r="G477" s="436">
        <v>0.1</v>
      </c>
      <c r="H477" s="539">
        <f t="shared" si="167"/>
        <v>5670.72</v>
      </c>
      <c r="I477" s="540" t="s">
        <v>427</v>
      </c>
      <c r="J477" s="553">
        <f>$J$15</f>
        <v>0</v>
      </c>
      <c r="K477" s="554">
        <f t="shared" si="168"/>
        <v>0</v>
      </c>
      <c r="L477" s="120"/>
      <c r="M477" s="558"/>
    </row>
    <row r="478" spans="1:13" s="187" customFormat="1" x14ac:dyDescent="0.2">
      <c r="A478" s="111" t="str">
        <f>IF(F478&lt;&gt;"",1+MAX($A$6:A477),"")</f>
        <v/>
      </c>
      <c r="B478" s="533"/>
      <c r="C478" s="534"/>
      <c r="D478" s="567"/>
      <c r="E478" s="563" t="s">
        <v>1187</v>
      </c>
      <c r="F478" s="552"/>
      <c r="G478" s="436"/>
      <c r="H478" s="539"/>
      <c r="I478" s="540"/>
      <c r="J478" s="553"/>
      <c r="K478" s="554"/>
      <c r="L478" s="120"/>
      <c r="M478" s="558"/>
    </row>
    <row r="479" spans="1:13" s="187" customFormat="1" x14ac:dyDescent="0.2">
      <c r="A479" s="111">
        <f>IF(F479&lt;&gt;"",1+MAX($A$6:A478),"")</f>
        <v>375</v>
      </c>
      <c r="B479" s="533" t="s">
        <v>1247</v>
      </c>
      <c r="C479" s="534" t="s">
        <v>1026</v>
      </c>
      <c r="D479" s="566">
        <f>H479/27</f>
        <v>554.07407407407413</v>
      </c>
      <c r="E479" s="555" t="s">
        <v>1188</v>
      </c>
      <c r="F479" s="552">
        <v>13600</v>
      </c>
      <c r="G479" s="436">
        <v>0.1</v>
      </c>
      <c r="H479" s="539">
        <f>F479*(1+G479)</f>
        <v>14960.000000000002</v>
      </c>
      <c r="I479" s="540" t="s">
        <v>18</v>
      </c>
      <c r="J479" s="556">
        <v>0</v>
      </c>
      <c r="K479" s="554">
        <f>J479*H479</f>
        <v>0</v>
      </c>
      <c r="L479" s="120"/>
      <c r="M479" s="558"/>
    </row>
    <row r="480" spans="1:13" s="187" customFormat="1" x14ac:dyDescent="0.2">
      <c r="A480" s="111">
        <f>IF(F480&lt;&gt;"",1+MAX($A$6:A479),"")</f>
        <v>376</v>
      </c>
      <c r="B480" s="533" t="s">
        <v>1247</v>
      </c>
      <c r="C480" s="534" t="s">
        <v>1026</v>
      </c>
      <c r="D480" s="122"/>
      <c r="E480" s="555" t="s">
        <v>1189</v>
      </c>
      <c r="F480" s="552">
        <v>554</v>
      </c>
      <c r="G480" s="436">
        <v>0.1</v>
      </c>
      <c r="H480" s="539">
        <f t="shared" ref="H480:H484" si="169">F480*(1+G480)</f>
        <v>609.40000000000009</v>
      </c>
      <c r="I480" s="540" t="s">
        <v>15</v>
      </c>
      <c r="J480" s="553">
        <f>$J$347</f>
        <v>0</v>
      </c>
      <c r="K480" s="554">
        <f t="shared" ref="K480:K484" si="170">J480*H480</f>
        <v>0</v>
      </c>
      <c r="L480" s="120"/>
      <c r="M480" s="558"/>
    </row>
    <row r="481" spans="1:13" s="187" customFormat="1" x14ac:dyDescent="0.2">
      <c r="A481" s="111">
        <f>IF(F481&lt;&gt;"",1+MAX($A$6:A480),"")</f>
        <v>377</v>
      </c>
      <c r="B481" s="533" t="s">
        <v>1247</v>
      </c>
      <c r="C481" s="534" t="s">
        <v>1026</v>
      </c>
      <c r="D481" s="122"/>
      <c r="E481" s="555" t="s">
        <v>1180</v>
      </c>
      <c r="F481" s="552">
        <v>13600</v>
      </c>
      <c r="G481" s="436">
        <v>0.1</v>
      </c>
      <c r="H481" s="539">
        <f t="shared" si="169"/>
        <v>14960.000000000002</v>
      </c>
      <c r="I481" s="540" t="s">
        <v>18</v>
      </c>
      <c r="J481" s="553">
        <f>$J$348</f>
        <v>0</v>
      </c>
      <c r="K481" s="554">
        <f t="shared" si="170"/>
        <v>0</v>
      </c>
      <c r="L481" s="120"/>
      <c r="M481" s="558"/>
    </row>
    <row r="482" spans="1:13" s="187" customFormat="1" x14ac:dyDescent="0.2">
      <c r="A482" s="111">
        <f>IF(F482&lt;&gt;"",1+MAX($A$6:A481),"")</f>
        <v>378</v>
      </c>
      <c r="B482" s="533" t="s">
        <v>1247</v>
      </c>
      <c r="C482" s="534" t="s">
        <v>1026</v>
      </c>
      <c r="D482" s="122"/>
      <c r="E482" s="555" t="s">
        <v>1158</v>
      </c>
      <c r="F482" s="552">
        <f>0.16*F481</f>
        <v>2176</v>
      </c>
      <c r="G482" s="436">
        <v>0.1</v>
      </c>
      <c r="H482" s="539">
        <f t="shared" si="169"/>
        <v>2393.6000000000004</v>
      </c>
      <c r="I482" s="540" t="s">
        <v>15</v>
      </c>
      <c r="J482" s="553">
        <f>$J$321</f>
        <v>0</v>
      </c>
      <c r="K482" s="554">
        <f t="shared" si="170"/>
        <v>0</v>
      </c>
      <c r="L482" s="120"/>
      <c r="M482" s="558"/>
    </row>
    <row r="483" spans="1:13" s="187" customFormat="1" x14ac:dyDescent="0.2">
      <c r="A483" s="111">
        <f>IF(F483&lt;&gt;"",1+MAX($A$6:A482),"")</f>
        <v>379</v>
      </c>
      <c r="B483" s="533" t="s">
        <v>1247</v>
      </c>
      <c r="C483" s="534" t="s">
        <v>1026</v>
      </c>
      <c r="D483" s="122"/>
      <c r="E483" s="555" t="s">
        <v>1248</v>
      </c>
      <c r="F483" s="552">
        <f>1.5*1.2*2*2*F479/1.5</f>
        <v>65279.999999999993</v>
      </c>
      <c r="G483" s="436">
        <v>0.1</v>
      </c>
      <c r="H483" s="539">
        <f t="shared" si="169"/>
        <v>71808</v>
      </c>
      <c r="I483" s="540" t="s">
        <v>427</v>
      </c>
      <c r="J483" s="553">
        <f t="shared" ref="J483:J484" si="171">$J$15</f>
        <v>0</v>
      </c>
      <c r="K483" s="554">
        <f t="shared" si="170"/>
        <v>0</v>
      </c>
      <c r="L483" s="120"/>
      <c r="M483" s="558"/>
    </row>
    <row r="484" spans="1:13" s="187" customFormat="1" x14ac:dyDescent="0.2">
      <c r="A484" s="111">
        <f>IF(F484&lt;&gt;"",1+MAX($A$6:A483),"")</f>
        <v>380</v>
      </c>
      <c r="B484" s="533" t="s">
        <v>1247</v>
      </c>
      <c r="C484" s="534" t="s">
        <v>1190</v>
      </c>
      <c r="D484" s="122"/>
      <c r="E484" s="555" t="s">
        <v>1249</v>
      </c>
      <c r="F484" s="552">
        <f>62/1.5*1.5*0.376*1.2</f>
        <v>27.974399999999999</v>
      </c>
      <c r="G484" s="436">
        <v>0.1</v>
      </c>
      <c r="H484" s="539">
        <f t="shared" si="169"/>
        <v>30.771840000000001</v>
      </c>
      <c r="I484" s="540" t="s">
        <v>427</v>
      </c>
      <c r="J484" s="553">
        <f t="shared" si="171"/>
        <v>0</v>
      </c>
      <c r="K484" s="554">
        <f t="shared" si="170"/>
        <v>0</v>
      </c>
      <c r="L484" s="120"/>
      <c r="M484" s="558"/>
    </row>
    <row r="485" spans="1:13" s="187" customFormat="1" ht="16.5" thickBot="1" x14ac:dyDescent="0.25">
      <c r="A485" s="111" t="str">
        <f>IF(F485&lt;&gt;"",1+MAX($A$6:A484),"")</f>
        <v/>
      </c>
      <c r="B485" s="533"/>
      <c r="C485" s="534"/>
      <c r="D485" s="122"/>
      <c r="E485" s="559"/>
      <c r="F485" s="560"/>
      <c r="G485" s="436"/>
      <c r="H485" s="539"/>
      <c r="I485" s="540"/>
      <c r="J485" s="553"/>
      <c r="K485" s="554"/>
      <c r="L485" s="120"/>
      <c r="M485" s="558"/>
    </row>
    <row r="486" spans="1:13" s="187" customFormat="1" ht="16.5" thickBot="1" x14ac:dyDescent="0.25">
      <c r="A486" s="111" t="str">
        <f>IF(F486&lt;&gt;"",1+MAX($A$6:A485),"")</f>
        <v/>
      </c>
      <c r="B486" s="533"/>
      <c r="C486" s="542"/>
      <c r="D486" s="543"/>
      <c r="E486" s="561" t="s">
        <v>1218</v>
      </c>
      <c r="F486" s="537"/>
      <c r="G486" s="546"/>
      <c r="H486" s="547"/>
      <c r="I486" s="548"/>
      <c r="J486" s="226"/>
      <c r="K486" s="549"/>
      <c r="L486" s="120"/>
    </row>
    <row r="487" spans="1:13" s="187" customFormat="1" x14ac:dyDescent="0.2">
      <c r="A487" s="111">
        <f>IF(F487&lt;&gt;"",1+MAX($A$6:A486),"")</f>
        <v>381</v>
      </c>
      <c r="B487" s="533" t="s">
        <v>1247</v>
      </c>
      <c r="C487" s="534" t="s">
        <v>1026</v>
      </c>
      <c r="D487" s="122"/>
      <c r="E487" s="555" t="s">
        <v>1219</v>
      </c>
      <c r="F487" s="552">
        <v>273</v>
      </c>
      <c r="G487" s="436">
        <v>0.1</v>
      </c>
      <c r="H487" s="539">
        <f>F487*(1+G487)</f>
        <v>300.3</v>
      </c>
      <c r="I487" s="540" t="s">
        <v>15</v>
      </c>
      <c r="J487" s="553">
        <f>$J$405</f>
        <v>0</v>
      </c>
      <c r="K487" s="554">
        <f>J487*H487</f>
        <v>0</v>
      </c>
      <c r="L487" s="120"/>
      <c r="M487" s="558"/>
    </row>
    <row r="488" spans="1:13" s="187" customFormat="1" ht="16.5" thickBot="1" x14ac:dyDescent="0.25">
      <c r="A488" s="111" t="str">
        <f>IF(F488&lt;&gt;"",1+MAX($A$6:A487),"")</f>
        <v/>
      </c>
      <c r="B488" s="533"/>
      <c r="C488" s="534"/>
      <c r="D488" s="122"/>
      <c r="E488" s="559"/>
      <c r="F488" s="560"/>
      <c r="G488" s="436"/>
      <c r="H488" s="539"/>
      <c r="I488" s="540"/>
      <c r="J488" s="553"/>
      <c r="K488" s="554"/>
      <c r="L488" s="120"/>
      <c r="M488" s="558"/>
    </row>
    <row r="489" spans="1:13" s="187" customFormat="1" ht="16.5" thickBot="1" x14ac:dyDescent="0.25">
      <c r="A489" s="111" t="str">
        <f>IF(F489&lt;&gt;"",1+MAX($A$6:A488),"")</f>
        <v/>
      </c>
      <c r="B489" s="533"/>
      <c r="C489" s="542"/>
      <c r="D489" s="543"/>
      <c r="E489" s="561" t="s">
        <v>1250</v>
      </c>
      <c r="F489" s="537"/>
      <c r="G489" s="546"/>
      <c r="H489" s="547"/>
      <c r="I489" s="548"/>
      <c r="J489" s="226"/>
      <c r="K489" s="549"/>
      <c r="L489" s="120"/>
    </row>
    <row r="490" spans="1:13" s="187" customFormat="1" ht="31.5" x14ac:dyDescent="0.2">
      <c r="A490" s="111">
        <f>IF(F490&lt;&gt;"",1+MAX($A$6:A489),"")</f>
        <v>382</v>
      </c>
      <c r="B490" s="533" t="s">
        <v>1251</v>
      </c>
      <c r="C490" s="534" t="s">
        <v>1026</v>
      </c>
      <c r="D490" s="122"/>
      <c r="E490" s="555" t="s">
        <v>1194</v>
      </c>
      <c r="F490" s="552">
        <v>18789</v>
      </c>
      <c r="G490" s="436">
        <v>0.1</v>
      </c>
      <c r="H490" s="539">
        <f t="shared" ref="H490:H493" si="172">F490*(1+G490)</f>
        <v>20667.900000000001</v>
      </c>
      <c r="I490" s="540" t="s">
        <v>427</v>
      </c>
      <c r="J490" s="553">
        <f t="shared" ref="J490:J493" si="173">$J$15</f>
        <v>0</v>
      </c>
      <c r="K490" s="554">
        <f t="shared" ref="K490:K493" si="174">J490*H490</f>
        <v>0</v>
      </c>
      <c r="L490" s="120"/>
      <c r="M490" s="558"/>
    </row>
    <row r="491" spans="1:13" s="187" customFormat="1" x14ac:dyDescent="0.2">
      <c r="A491" s="111">
        <f>IF(F491&lt;&gt;"",1+MAX($A$6:A490),"")</f>
        <v>383</v>
      </c>
      <c r="B491" s="533" t="str">
        <f>B490</f>
        <v>S4.1-2</v>
      </c>
      <c r="C491" s="534" t="s">
        <v>1195</v>
      </c>
      <c r="D491" s="122"/>
      <c r="E491" s="555" t="s">
        <v>1196</v>
      </c>
      <c r="F491" s="552">
        <f>554*2*1.5*1.2*2</f>
        <v>3988.7999999999997</v>
      </c>
      <c r="G491" s="436">
        <v>0.1</v>
      </c>
      <c r="H491" s="539">
        <f t="shared" si="172"/>
        <v>4387.68</v>
      </c>
      <c r="I491" s="540" t="s">
        <v>427</v>
      </c>
      <c r="J491" s="553">
        <f t="shared" si="173"/>
        <v>0</v>
      </c>
      <c r="K491" s="554">
        <f t="shared" si="174"/>
        <v>0</v>
      </c>
      <c r="L491" s="120"/>
      <c r="M491" s="558"/>
    </row>
    <row r="492" spans="1:13" s="187" customFormat="1" x14ac:dyDescent="0.2">
      <c r="A492" s="111">
        <f>IF(F492&lt;&gt;"",1+MAX($A$6:A491),"")</f>
        <v>384</v>
      </c>
      <c r="B492" s="533" t="str">
        <f>B491</f>
        <v>S4.1-2</v>
      </c>
      <c r="C492" s="534" t="s">
        <v>1195</v>
      </c>
      <c r="D492" s="122"/>
      <c r="E492" s="555" t="s">
        <v>1252</v>
      </c>
      <c r="F492" s="552">
        <f>554/0.75*2.2*0.376*1.2</f>
        <v>733.23007999999993</v>
      </c>
      <c r="G492" s="436">
        <v>0.1</v>
      </c>
      <c r="H492" s="539">
        <f t="shared" si="172"/>
        <v>806.553088</v>
      </c>
      <c r="I492" s="540" t="s">
        <v>427</v>
      </c>
      <c r="J492" s="553">
        <f t="shared" si="173"/>
        <v>0</v>
      </c>
      <c r="K492" s="554">
        <f t="shared" si="174"/>
        <v>0</v>
      </c>
      <c r="L492" s="120"/>
      <c r="M492" s="558"/>
    </row>
    <row r="493" spans="1:13" s="187" customFormat="1" x14ac:dyDescent="0.2">
      <c r="A493" s="111">
        <f>IF(F493&lt;&gt;"",1+MAX($A$6:A492),"")</f>
        <v>385</v>
      </c>
      <c r="B493" s="533" t="str">
        <f>B492</f>
        <v>S4.1-2</v>
      </c>
      <c r="C493" s="534" t="s">
        <v>1198</v>
      </c>
      <c r="D493" s="122"/>
      <c r="E493" s="555" t="s">
        <v>1199</v>
      </c>
      <c r="F493" s="552">
        <f>470/1.33*3.5*0.668*1.2</f>
        <v>991.45263157894749</v>
      </c>
      <c r="G493" s="436">
        <v>0.1</v>
      </c>
      <c r="H493" s="539">
        <f t="shared" si="172"/>
        <v>1090.5978947368424</v>
      </c>
      <c r="I493" s="540" t="s">
        <v>427</v>
      </c>
      <c r="J493" s="553">
        <f t="shared" si="173"/>
        <v>0</v>
      </c>
      <c r="K493" s="554">
        <f t="shared" si="174"/>
        <v>0</v>
      </c>
      <c r="L493" s="120"/>
      <c r="M493" s="558"/>
    </row>
    <row r="494" spans="1:13" s="187" customFormat="1" ht="16.5" thickBot="1" x14ac:dyDescent="0.25">
      <c r="A494" s="111" t="str">
        <f>IF(F494&lt;&gt;"",1+MAX($A$6:A493),"")</f>
        <v/>
      </c>
      <c r="B494" s="533"/>
      <c r="C494" s="534"/>
      <c r="D494" s="122"/>
      <c r="E494" s="559"/>
      <c r="F494" s="560"/>
      <c r="G494" s="436"/>
      <c r="H494" s="539"/>
      <c r="I494" s="540"/>
      <c r="J494" s="553"/>
      <c r="K494" s="554"/>
      <c r="L494" s="120"/>
      <c r="M494" s="558"/>
    </row>
    <row r="495" spans="1:13" s="187" customFormat="1" ht="16.5" thickBot="1" x14ac:dyDescent="0.25">
      <c r="A495" s="111" t="str">
        <f>IF(F495&lt;&gt;"",1+MAX($A$6:A494),"")</f>
        <v/>
      </c>
      <c r="B495" s="533"/>
      <c r="C495" s="542"/>
      <c r="D495" s="543"/>
      <c r="E495" s="561" t="s">
        <v>1204</v>
      </c>
      <c r="F495" s="537"/>
      <c r="G495" s="546"/>
      <c r="H495" s="547"/>
      <c r="I495" s="548"/>
      <c r="J495" s="226"/>
      <c r="K495" s="549"/>
      <c r="L495" s="120"/>
    </row>
    <row r="496" spans="1:13" s="187" customFormat="1" ht="63" x14ac:dyDescent="0.2">
      <c r="A496" s="111" t="str">
        <f>IF(F496&lt;&gt;"",1+MAX($A$6:A495),"")</f>
        <v/>
      </c>
      <c r="B496" s="533"/>
      <c r="C496" s="534"/>
      <c r="D496" s="122"/>
      <c r="E496" s="563" t="s">
        <v>1253</v>
      </c>
      <c r="F496" s="552"/>
      <c r="G496" s="436"/>
      <c r="H496" s="539"/>
      <c r="I496" s="540"/>
      <c r="J496" s="553"/>
      <c r="K496" s="554"/>
      <c r="L496" s="120"/>
      <c r="M496" s="558"/>
    </row>
    <row r="497" spans="1:13" s="187" customFormat="1" x14ac:dyDescent="0.2">
      <c r="A497" s="111">
        <f>IF(F497&lt;&gt;"",1+MAX($A$6:A496),"")</f>
        <v>386</v>
      </c>
      <c r="B497" s="533" t="s">
        <v>1247</v>
      </c>
      <c r="C497" s="534" t="s">
        <v>1086</v>
      </c>
      <c r="D497" s="122"/>
      <c r="E497" s="555" t="s">
        <v>1027</v>
      </c>
      <c r="F497" s="564">
        <f>45*0.83*2/27</f>
        <v>2.7666666666666666</v>
      </c>
      <c r="G497" s="436">
        <v>0.1</v>
      </c>
      <c r="H497" s="569">
        <f>F497*(1+G497)</f>
        <v>3.0433333333333334</v>
      </c>
      <c r="I497" s="540" t="s">
        <v>1028</v>
      </c>
      <c r="J497" s="553">
        <f>$J$11</f>
        <v>0</v>
      </c>
      <c r="K497" s="554">
        <f>J497*H497</f>
        <v>0</v>
      </c>
      <c r="L497" s="120"/>
      <c r="M497" s="558"/>
    </row>
    <row r="498" spans="1:13" s="187" customFormat="1" x14ac:dyDescent="0.2">
      <c r="A498" s="111">
        <f>IF(F498&lt;&gt;"",1+MAX($A$6:A497),"")</f>
        <v>387</v>
      </c>
      <c r="B498" s="533" t="s">
        <v>1247</v>
      </c>
      <c r="C498" s="534" t="s">
        <v>1086</v>
      </c>
      <c r="D498" s="122"/>
      <c r="E498" s="555" t="s">
        <v>1206</v>
      </c>
      <c r="F498" s="552">
        <f>45*2*2</f>
        <v>180</v>
      </c>
      <c r="G498" s="436">
        <v>0.1</v>
      </c>
      <c r="H498" s="539">
        <f>F498*(1+G498)</f>
        <v>198.00000000000003</v>
      </c>
      <c r="I498" s="540" t="s">
        <v>1030</v>
      </c>
      <c r="J498" s="553">
        <f>J$385</f>
        <v>0</v>
      </c>
      <c r="K498" s="554">
        <f>J498*H498</f>
        <v>0</v>
      </c>
      <c r="L498" s="120"/>
      <c r="M498" s="558"/>
    </row>
    <row r="499" spans="1:13" s="187" customFormat="1" x14ac:dyDescent="0.2">
      <c r="A499" s="111">
        <f>IF(F499&lt;&gt;"",1+MAX($A$6:A498),"")</f>
        <v>388</v>
      </c>
      <c r="B499" s="533" t="s">
        <v>1247</v>
      </c>
      <c r="C499" s="534" t="s">
        <v>1086</v>
      </c>
      <c r="D499" s="122"/>
      <c r="E499" s="555" t="s">
        <v>1196</v>
      </c>
      <c r="F499" s="552">
        <f>2*45*1.5*1.2</f>
        <v>162</v>
      </c>
      <c r="G499" s="436">
        <v>0.1</v>
      </c>
      <c r="H499" s="539">
        <f>F499*(1+G499)</f>
        <v>178.20000000000002</v>
      </c>
      <c r="I499" s="540" t="s">
        <v>427</v>
      </c>
      <c r="J499" s="553">
        <f t="shared" ref="J499:J501" si="175">$J$15</f>
        <v>0</v>
      </c>
      <c r="K499" s="554">
        <f>J499*H499</f>
        <v>0</v>
      </c>
      <c r="L499" s="120"/>
      <c r="M499" s="558"/>
    </row>
    <row r="500" spans="1:13" s="187" customFormat="1" x14ac:dyDescent="0.2">
      <c r="A500" s="111">
        <f>IF(F500&lt;&gt;"",1+MAX($A$6:A499),"")</f>
        <v>389</v>
      </c>
      <c r="B500" s="533" t="s">
        <v>1247</v>
      </c>
      <c r="C500" s="534" t="s">
        <v>1086</v>
      </c>
      <c r="D500" s="122"/>
      <c r="E500" s="555" t="s">
        <v>1254</v>
      </c>
      <c r="F500" s="552">
        <f>2*45*2.67*1.2</f>
        <v>288.35999999999996</v>
      </c>
      <c r="G500" s="436">
        <v>0.1</v>
      </c>
      <c r="H500" s="539">
        <f>F500*(1+G500)</f>
        <v>317.19599999999997</v>
      </c>
      <c r="I500" s="540" t="s">
        <v>427</v>
      </c>
      <c r="J500" s="553">
        <f t="shared" si="175"/>
        <v>0</v>
      </c>
      <c r="K500" s="554">
        <f>J500*H500</f>
        <v>0</v>
      </c>
      <c r="L500" s="120"/>
      <c r="M500" s="558"/>
    </row>
    <row r="501" spans="1:13" s="187" customFormat="1" x14ac:dyDescent="0.2">
      <c r="A501" s="111">
        <f>IF(F501&lt;&gt;"",1+MAX($A$6:A500),"")</f>
        <v>390</v>
      </c>
      <c r="B501" s="533" t="s">
        <v>1247</v>
      </c>
      <c r="C501" s="534" t="s">
        <v>1086</v>
      </c>
      <c r="D501" s="122"/>
      <c r="E501" s="555" t="s">
        <v>1255</v>
      </c>
      <c r="F501" s="552">
        <f>45/0.5*(2*0.83+2*2+0.5)*0.668*1.2</f>
        <v>444.40703999999999</v>
      </c>
      <c r="G501" s="436">
        <v>0.1</v>
      </c>
      <c r="H501" s="539">
        <f>F501*(1+G501)</f>
        <v>488.84774400000003</v>
      </c>
      <c r="I501" s="540" t="s">
        <v>427</v>
      </c>
      <c r="J501" s="553">
        <f t="shared" si="175"/>
        <v>0</v>
      </c>
      <c r="K501" s="554">
        <f>J501*H501</f>
        <v>0</v>
      </c>
      <c r="L501" s="120"/>
      <c r="M501" s="558"/>
    </row>
    <row r="502" spans="1:13" s="187" customFormat="1" ht="63" x14ac:dyDescent="0.2">
      <c r="A502" s="111" t="str">
        <f>IF(F502&lt;&gt;"",1+MAX($A$6:A501),"")</f>
        <v/>
      </c>
      <c r="B502" s="533"/>
      <c r="C502" s="534"/>
      <c r="D502" s="122"/>
      <c r="E502" s="563" t="s">
        <v>1256</v>
      </c>
      <c r="F502" s="552"/>
      <c r="G502" s="436"/>
      <c r="H502" s="539"/>
      <c r="I502" s="540"/>
      <c r="J502" s="553"/>
      <c r="K502" s="554"/>
      <c r="L502" s="120"/>
      <c r="M502" s="558"/>
    </row>
    <row r="503" spans="1:13" s="187" customFormat="1" x14ac:dyDescent="0.2">
      <c r="A503" s="111">
        <f>IF(F503&lt;&gt;"",1+MAX($A$6:A502),"")</f>
        <v>391</v>
      </c>
      <c r="B503" s="533" t="s">
        <v>1247</v>
      </c>
      <c r="C503" s="534" t="s">
        <v>1086</v>
      </c>
      <c r="D503" s="122"/>
      <c r="E503" s="555" t="s">
        <v>1027</v>
      </c>
      <c r="F503" s="564">
        <f>14*1*2/27</f>
        <v>1.037037037037037</v>
      </c>
      <c r="G503" s="436">
        <v>0.1</v>
      </c>
      <c r="H503" s="569">
        <f>F503*(1+G503)</f>
        <v>1.1407407407407408</v>
      </c>
      <c r="I503" s="540" t="s">
        <v>1028</v>
      </c>
      <c r="J503" s="553">
        <f>$J$11</f>
        <v>0</v>
      </c>
      <c r="K503" s="554">
        <f>J503*H503</f>
        <v>0</v>
      </c>
      <c r="L503" s="120"/>
      <c r="M503" s="558"/>
    </row>
    <row r="504" spans="1:13" s="187" customFormat="1" x14ac:dyDescent="0.2">
      <c r="A504" s="111">
        <f>IF(F504&lt;&gt;"",1+MAX($A$6:A503),"")</f>
        <v>392</v>
      </c>
      <c r="B504" s="533" t="s">
        <v>1247</v>
      </c>
      <c r="C504" s="534" t="s">
        <v>1086</v>
      </c>
      <c r="D504" s="122"/>
      <c r="E504" s="555" t="s">
        <v>1206</v>
      </c>
      <c r="F504" s="552">
        <f>14*2*2</f>
        <v>56</v>
      </c>
      <c r="G504" s="436">
        <v>0.1</v>
      </c>
      <c r="H504" s="539">
        <f>F504*(1+G504)</f>
        <v>61.600000000000009</v>
      </c>
      <c r="I504" s="540" t="s">
        <v>1030</v>
      </c>
      <c r="J504" s="553">
        <f>J$385</f>
        <v>0</v>
      </c>
      <c r="K504" s="554">
        <f>J504*H504</f>
        <v>0</v>
      </c>
      <c r="L504" s="120"/>
      <c r="M504" s="558"/>
    </row>
    <row r="505" spans="1:13" s="187" customFormat="1" x14ac:dyDescent="0.2">
      <c r="A505" s="111">
        <f>IF(F505&lt;&gt;"",1+MAX($A$6:A504),"")</f>
        <v>393</v>
      </c>
      <c r="B505" s="533" t="s">
        <v>1247</v>
      </c>
      <c r="C505" s="534" t="s">
        <v>1086</v>
      </c>
      <c r="D505" s="122"/>
      <c r="E505" s="555" t="s">
        <v>1257</v>
      </c>
      <c r="F505" s="552">
        <f>2*14*2.044*1.2</f>
        <v>68.678399999999996</v>
      </c>
      <c r="G505" s="436">
        <v>0.1</v>
      </c>
      <c r="H505" s="539">
        <f>F505*(1+G505)</f>
        <v>75.546239999999997</v>
      </c>
      <c r="I505" s="540" t="s">
        <v>427</v>
      </c>
      <c r="J505" s="553">
        <f t="shared" ref="J505:J507" si="176">$J$15</f>
        <v>0</v>
      </c>
      <c r="K505" s="554">
        <f>J505*H505</f>
        <v>0</v>
      </c>
      <c r="L505" s="120"/>
      <c r="M505" s="558"/>
    </row>
    <row r="506" spans="1:13" s="187" customFormat="1" x14ac:dyDescent="0.2">
      <c r="A506" s="111">
        <f>IF(F506&lt;&gt;"",1+MAX($A$6:A505),"")</f>
        <v>394</v>
      </c>
      <c r="B506" s="533" t="s">
        <v>1247</v>
      </c>
      <c r="C506" s="534" t="s">
        <v>1086</v>
      </c>
      <c r="D506" s="122"/>
      <c r="E506" s="555" t="s">
        <v>1254</v>
      </c>
      <c r="F506" s="552">
        <f>2*14*2.67*1.2</f>
        <v>89.711999999999989</v>
      </c>
      <c r="G506" s="436">
        <v>0.1</v>
      </c>
      <c r="H506" s="539">
        <f>F506*(1+G506)</f>
        <v>98.683199999999999</v>
      </c>
      <c r="I506" s="540" t="s">
        <v>427</v>
      </c>
      <c r="J506" s="553">
        <f t="shared" si="176"/>
        <v>0</v>
      </c>
      <c r="K506" s="554">
        <f>J506*H506</f>
        <v>0</v>
      </c>
      <c r="L506" s="120"/>
      <c r="M506" s="558"/>
    </row>
    <row r="507" spans="1:13" s="187" customFormat="1" x14ac:dyDescent="0.2">
      <c r="A507" s="111">
        <f>IF(F507&lt;&gt;"",1+MAX($A$6:A506),"")</f>
        <v>395</v>
      </c>
      <c r="B507" s="533" t="s">
        <v>1247</v>
      </c>
      <c r="C507" s="534" t="s">
        <v>1086</v>
      </c>
      <c r="D507" s="122"/>
      <c r="E507" s="555" t="s">
        <v>1255</v>
      </c>
      <c r="F507" s="552">
        <f>14/0.5*(2*1+2*2+0.5)*0.668*1.2</f>
        <v>145.8912</v>
      </c>
      <c r="G507" s="436">
        <v>0.1</v>
      </c>
      <c r="H507" s="539">
        <f>F507*(1+G507)</f>
        <v>160.48032000000001</v>
      </c>
      <c r="I507" s="540" t="s">
        <v>427</v>
      </c>
      <c r="J507" s="553">
        <f t="shared" si="176"/>
        <v>0</v>
      </c>
      <c r="K507" s="554">
        <f>J507*H507</f>
        <v>0</v>
      </c>
      <c r="L507" s="120"/>
      <c r="M507" s="558"/>
    </row>
    <row r="508" spans="1:13" s="187" customFormat="1" ht="63" x14ac:dyDescent="0.2">
      <c r="A508" s="111" t="str">
        <f>IF(F508&lt;&gt;"",1+MAX($A$6:A507),"")</f>
        <v/>
      </c>
      <c r="B508" s="533"/>
      <c r="C508" s="534"/>
      <c r="D508" s="122"/>
      <c r="E508" s="563" t="s">
        <v>1258</v>
      </c>
      <c r="F508" s="552"/>
      <c r="G508" s="436"/>
      <c r="H508" s="539"/>
      <c r="I508" s="540"/>
      <c r="J508" s="553"/>
      <c r="K508" s="554"/>
      <c r="L508" s="120"/>
      <c r="M508" s="558"/>
    </row>
    <row r="509" spans="1:13" s="187" customFormat="1" x14ac:dyDescent="0.2">
      <c r="A509" s="111">
        <f>IF(F509&lt;&gt;"",1+MAX($A$6:A508),"")</f>
        <v>396</v>
      </c>
      <c r="B509" s="533" t="s">
        <v>1247</v>
      </c>
      <c r="C509" s="534" t="s">
        <v>1086</v>
      </c>
      <c r="D509" s="122"/>
      <c r="E509" s="555" t="s">
        <v>1027</v>
      </c>
      <c r="F509" s="564">
        <f>22*1*1.67/27</f>
        <v>1.3607407407407406</v>
      </c>
      <c r="G509" s="436">
        <v>0.1</v>
      </c>
      <c r="H509" s="569">
        <f>F509*(1+G509)</f>
        <v>1.4968148148148148</v>
      </c>
      <c r="I509" s="540" t="s">
        <v>1028</v>
      </c>
      <c r="J509" s="553">
        <f>$J$11</f>
        <v>0</v>
      </c>
      <c r="K509" s="554">
        <f>J509*H509</f>
        <v>0</v>
      </c>
      <c r="L509" s="120"/>
      <c r="M509" s="558"/>
    </row>
    <row r="510" spans="1:13" s="187" customFormat="1" x14ac:dyDescent="0.2">
      <c r="A510" s="111">
        <f>IF(F510&lt;&gt;"",1+MAX($A$6:A509),"")</f>
        <v>397</v>
      </c>
      <c r="B510" s="533" t="s">
        <v>1247</v>
      </c>
      <c r="C510" s="534" t="s">
        <v>1086</v>
      </c>
      <c r="D510" s="122"/>
      <c r="E510" s="555" t="s">
        <v>1206</v>
      </c>
      <c r="F510" s="552">
        <f>22*1.67*2</f>
        <v>73.47999999999999</v>
      </c>
      <c r="G510" s="436">
        <v>0.1</v>
      </c>
      <c r="H510" s="539">
        <f>F510*(1+G510)</f>
        <v>80.827999999999989</v>
      </c>
      <c r="I510" s="540" t="s">
        <v>1030</v>
      </c>
      <c r="J510" s="553">
        <f>J$385</f>
        <v>0</v>
      </c>
      <c r="K510" s="554">
        <f>J510*H510</f>
        <v>0</v>
      </c>
      <c r="L510" s="120"/>
      <c r="M510" s="558"/>
    </row>
    <row r="511" spans="1:13" s="187" customFormat="1" x14ac:dyDescent="0.2">
      <c r="A511" s="111">
        <f>IF(F511&lt;&gt;"",1+MAX($A$6:A510),"")</f>
        <v>398</v>
      </c>
      <c r="B511" s="533" t="s">
        <v>1247</v>
      </c>
      <c r="C511" s="534" t="s">
        <v>1086</v>
      </c>
      <c r="D511" s="122"/>
      <c r="E511" s="555" t="s">
        <v>1259</v>
      </c>
      <c r="F511" s="552">
        <f>2*22*2.67*1.2*2</f>
        <v>281.95199999999994</v>
      </c>
      <c r="G511" s="436">
        <v>0.1</v>
      </c>
      <c r="H511" s="539">
        <f>F511*(1+G511)</f>
        <v>310.14719999999994</v>
      </c>
      <c r="I511" s="540" t="s">
        <v>427</v>
      </c>
      <c r="J511" s="553">
        <f t="shared" ref="J511:J512" si="177">$J$15</f>
        <v>0</v>
      </c>
      <c r="K511" s="554">
        <f>J511*H511</f>
        <v>0</v>
      </c>
      <c r="L511" s="120"/>
      <c r="M511" s="558"/>
    </row>
    <row r="512" spans="1:13" s="187" customFormat="1" x14ac:dyDescent="0.2">
      <c r="A512" s="111">
        <f>IF(F512&lt;&gt;"",1+MAX($A$6:A511),"")</f>
        <v>399</v>
      </c>
      <c r="B512" s="533" t="s">
        <v>1247</v>
      </c>
      <c r="C512" s="534" t="s">
        <v>1086</v>
      </c>
      <c r="D512" s="122"/>
      <c r="E512" s="555" t="s">
        <v>1255</v>
      </c>
      <c r="F512" s="552">
        <f>22/0.5*(2*1+2*1.67+0.5)*0.668*1.2</f>
        <v>205.97913600000001</v>
      </c>
      <c r="G512" s="436">
        <v>0.1</v>
      </c>
      <c r="H512" s="539">
        <f>F512*(1+G512)</f>
        <v>226.57704960000004</v>
      </c>
      <c r="I512" s="540" t="s">
        <v>427</v>
      </c>
      <c r="J512" s="553">
        <f t="shared" si="177"/>
        <v>0</v>
      </c>
      <c r="K512" s="554">
        <f>J512*H512</f>
        <v>0</v>
      </c>
      <c r="L512" s="120"/>
      <c r="M512" s="558"/>
    </row>
    <row r="513" spans="1:13" s="187" customFormat="1" ht="63" x14ac:dyDescent="0.2">
      <c r="A513" s="111" t="str">
        <f>IF(F513&lt;&gt;"",1+MAX($A$6:A512),"")</f>
        <v/>
      </c>
      <c r="B513" s="533"/>
      <c r="C513" s="534"/>
      <c r="D513" s="122"/>
      <c r="E513" s="563" t="s">
        <v>1260</v>
      </c>
      <c r="F513" s="552"/>
      <c r="G513" s="436"/>
      <c r="H513" s="539"/>
      <c r="I513" s="540"/>
      <c r="J513" s="553"/>
      <c r="K513" s="554"/>
      <c r="L513" s="120"/>
      <c r="M513" s="558"/>
    </row>
    <row r="514" spans="1:13" s="187" customFormat="1" x14ac:dyDescent="0.2">
      <c r="A514" s="111">
        <f>IF(F514&lt;&gt;"",1+MAX($A$6:A513),"")</f>
        <v>400</v>
      </c>
      <c r="B514" s="533" t="s">
        <v>1247</v>
      </c>
      <c r="C514" s="534" t="s">
        <v>1086</v>
      </c>
      <c r="D514" s="122"/>
      <c r="E514" s="555" t="s">
        <v>1027</v>
      </c>
      <c r="F514" s="564">
        <f>11*1*1.67/27</f>
        <v>0.68037037037037029</v>
      </c>
      <c r="G514" s="436">
        <v>0.1</v>
      </c>
      <c r="H514" s="569">
        <f>F514*(1+G514)</f>
        <v>0.74840740740740741</v>
      </c>
      <c r="I514" s="540" t="s">
        <v>1028</v>
      </c>
      <c r="J514" s="553">
        <f>$J$11</f>
        <v>0</v>
      </c>
      <c r="K514" s="554">
        <f>J514*H514</f>
        <v>0</v>
      </c>
      <c r="L514" s="120"/>
      <c r="M514" s="558"/>
    </row>
    <row r="515" spans="1:13" s="187" customFormat="1" x14ac:dyDescent="0.2">
      <c r="A515" s="111">
        <f>IF(F515&lt;&gt;"",1+MAX($A$6:A514),"")</f>
        <v>401</v>
      </c>
      <c r="B515" s="533" t="s">
        <v>1247</v>
      </c>
      <c r="C515" s="534" t="s">
        <v>1086</v>
      </c>
      <c r="D515" s="122"/>
      <c r="E515" s="555" t="s">
        <v>1206</v>
      </c>
      <c r="F515" s="552">
        <f>11*1.67*2</f>
        <v>36.739999999999995</v>
      </c>
      <c r="G515" s="436">
        <v>0.1</v>
      </c>
      <c r="H515" s="539">
        <f>F515*(1+G515)</f>
        <v>40.413999999999994</v>
      </c>
      <c r="I515" s="540" t="s">
        <v>1030</v>
      </c>
      <c r="J515" s="553">
        <f>J$385</f>
        <v>0</v>
      </c>
      <c r="K515" s="554">
        <f>J515*H515</f>
        <v>0</v>
      </c>
      <c r="L515" s="120"/>
      <c r="M515" s="558"/>
    </row>
    <row r="516" spans="1:13" s="187" customFormat="1" x14ac:dyDescent="0.2">
      <c r="A516" s="111">
        <f>IF(F516&lt;&gt;"",1+MAX($A$6:A515),"")</f>
        <v>402</v>
      </c>
      <c r="B516" s="533" t="s">
        <v>1247</v>
      </c>
      <c r="C516" s="534" t="s">
        <v>1086</v>
      </c>
      <c r="D516" s="122"/>
      <c r="E516" s="555" t="s">
        <v>1261</v>
      </c>
      <c r="F516" s="552">
        <f>2*11*2.044*1.2+2*11*2.67*1.2</f>
        <v>124.44959999999999</v>
      </c>
      <c r="G516" s="436">
        <v>0.1</v>
      </c>
      <c r="H516" s="539">
        <f>F516*(1+G516)</f>
        <v>136.89456000000001</v>
      </c>
      <c r="I516" s="540" t="s">
        <v>427</v>
      </c>
      <c r="J516" s="553">
        <f t="shared" ref="J516:J517" si="178">$J$15</f>
        <v>0</v>
      </c>
      <c r="K516" s="554">
        <f>J516*H516</f>
        <v>0</v>
      </c>
      <c r="L516" s="120"/>
      <c r="M516" s="558"/>
    </row>
    <row r="517" spans="1:13" s="187" customFormat="1" x14ac:dyDescent="0.2">
      <c r="A517" s="111">
        <f>IF(F517&lt;&gt;"",1+MAX($A$6:A516),"")</f>
        <v>403</v>
      </c>
      <c r="B517" s="533" t="s">
        <v>1247</v>
      </c>
      <c r="C517" s="534" t="s">
        <v>1086</v>
      </c>
      <c r="D517" s="122"/>
      <c r="E517" s="555" t="s">
        <v>1255</v>
      </c>
      <c r="F517" s="552">
        <f>11/0.5*(2*1+2*1.67+0.5)*0.668*1.2</f>
        <v>102.98956800000001</v>
      </c>
      <c r="G517" s="436">
        <v>0.1</v>
      </c>
      <c r="H517" s="539">
        <f>F517*(1+G517)</f>
        <v>113.28852480000002</v>
      </c>
      <c r="I517" s="540" t="s">
        <v>427</v>
      </c>
      <c r="J517" s="553">
        <f t="shared" si="178"/>
        <v>0</v>
      </c>
      <c r="K517" s="554">
        <f>J517*H517</f>
        <v>0</v>
      </c>
      <c r="L517" s="120"/>
      <c r="M517" s="558"/>
    </row>
    <row r="518" spans="1:13" s="187" customFormat="1" ht="63" x14ac:dyDescent="0.2">
      <c r="A518" s="111" t="str">
        <f>IF(F518&lt;&gt;"",1+MAX($A$6:A517),"")</f>
        <v/>
      </c>
      <c r="B518" s="533"/>
      <c r="C518" s="534"/>
      <c r="D518" s="122"/>
      <c r="E518" s="563" t="s">
        <v>1262</v>
      </c>
      <c r="F518" s="552"/>
      <c r="G518" s="436"/>
      <c r="H518" s="539"/>
      <c r="I518" s="540"/>
      <c r="J518" s="553"/>
      <c r="K518" s="554"/>
      <c r="L518" s="120"/>
      <c r="M518" s="558"/>
    </row>
    <row r="519" spans="1:13" s="187" customFormat="1" x14ac:dyDescent="0.2">
      <c r="A519" s="111">
        <f>IF(F519&lt;&gt;"",1+MAX($A$6:A518),"")</f>
        <v>404</v>
      </c>
      <c r="B519" s="533" t="s">
        <v>1247</v>
      </c>
      <c r="C519" s="534" t="s">
        <v>1086</v>
      </c>
      <c r="D519" s="122"/>
      <c r="E519" s="555" t="s">
        <v>1027</v>
      </c>
      <c r="F519" s="564">
        <f>27*1*2.5/27</f>
        <v>2.5</v>
      </c>
      <c r="G519" s="436">
        <v>0.1</v>
      </c>
      <c r="H519" s="569">
        <f t="shared" ref="H519:H524" si="179">F519*(1+G519)</f>
        <v>2.75</v>
      </c>
      <c r="I519" s="540" t="s">
        <v>1028</v>
      </c>
      <c r="J519" s="553">
        <f>$J$11</f>
        <v>0</v>
      </c>
      <c r="K519" s="554">
        <f t="shared" ref="K519:K524" si="180">J519*H519</f>
        <v>0</v>
      </c>
      <c r="L519" s="120"/>
      <c r="M519" s="558"/>
    </row>
    <row r="520" spans="1:13" s="187" customFormat="1" x14ac:dyDescent="0.2">
      <c r="A520" s="111">
        <f>IF(F520&lt;&gt;"",1+MAX($A$6:A519),"")</f>
        <v>405</v>
      </c>
      <c r="B520" s="533" t="s">
        <v>1247</v>
      </c>
      <c r="C520" s="534" t="s">
        <v>1086</v>
      </c>
      <c r="D520" s="122"/>
      <c r="E520" s="555" t="s">
        <v>1206</v>
      </c>
      <c r="F520" s="552">
        <f>27*2.5*2</f>
        <v>135</v>
      </c>
      <c r="G520" s="436">
        <v>0.1</v>
      </c>
      <c r="H520" s="539">
        <f t="shared" si="179"/>
        <v>148.5</v>
      </c>
      <c r="I520" s="540" t="s">
        <v>1030</v>
      </c>
      <c r="J520" s="553">
        <f>J$385</f>
        <v>0</v>
      </c>
      <c r="K520" s="554">
        <f t="shared" si="180"/>
        <v>0</v>
      </c>
      <c r="L520" s="120"/>
      <c r="M520" s="558"/>
    </row>
    <row r="521" spans="1:13" s="187" customFormat="1" x14ac:dyDescent="0.2">
      <c r="A521" s="111">
        <f>IF(F521&lt;&gt;"",1+MAX($A$6:A520),"")</f>
        <v>406</v>
      </c>
      <c r="B521" s="533" t="s">
        <v>1247</v>
      </c>
      <c r="C521" s="534" t="s">
        <v>1086</v>
      </c>
      <c r="D521" s="122"/>
      <c r="E521" s="555" t="s">
        <v>1257</v>
      </c>
      <c r="F521" s="552">
        <f>2*27*2.044*1.2</f>
        <v>132.4512</v>
      </c>
      <c r="G521" s="436">
        <v>0.1</v>
      </c>
      <c r="H521" s="539">
        <f t="shared" si="179"/>
        <v>145.69632000000001</v>
      </c>
      <c r="I521" s="540" t="s">
        <v>427</v>
      </c>
      <c r="J521" s="553">
        <f t="shared" ref="J521:J524" si="181">$J$15</f>
        <v>0</v>
      </c>
      <c r="K521" s="554">
        <f t="shared" si="180"/>
        <v>0</v>
      </c>
      <c r="L521" s="120"/>
      <c r="M521" s="558"/>
    </row>
    <row r="522" spans="1:13" s="187" customFormat="1" x14ac:dyDescent="0.2">
      <c r="A522" s="111">
        <f>IF(F522&lt;&gt;"",1+MAX($A$6:A521),"")</f>
        <v>407</v>
      </c>
      <c r="B522" s="533" t="s">
        <v>1247</v>
      </c>
      <c r="C522" s="534" t="s">
        <v>1086</v>
      </c>
      <c r="D522" s="122"/>
      <c r="E522" s="555" t="s">
        <v>1263</v>
      </c>
      <c r="F522" s="552">
        <f>3*27*3.4*1.2</f>
        <v>330.47999999999996</v>
      </c>
      <c r="G522" s="436">
        <v>0.1</v>
      </c>
      <c r="H522" s="539">
        <f t="shared" si="179"/>
        <v>363.52799999999996</v>
      </c>
      <c r="I522" s="540" t="s">
        <v>427</v>
      </c>
      <c r="J522" s="553">
        <f t="shared" si="181"/>
        <v>0</v>
      </c>
      <c r="K522" s="554">
        <f t="shared" si="180"/>
        <v>0</v>
      </c>
      <c r="L522" s="120"/>
      <c r="M522" s="558"/>
    </row>
    <row r="523" spans="1:13" s="187" customFormat="1" x14ac:dyDescent="0.2">
      <c r="A523" s="111">
        <f>IF(F523&lt;&gt;"",1+MAX($A$6:A522),"")</f>
        <v>408</v>
      </c>
      <c r="B523" s="533" t="s">
        <v>1247</v>
      </c>
      <c r="C523" s="534" t="s">
        <v>1086</v>
      </c>
      <c r="D523" s="122"/>
      <c r="E523" s="555" t="s">
        <v>1264</v>
      </c>
      <c r="F523" s="552">
        <f>2*24*2.67*1.2</f>
        <v>153.792</v>
      </c>
      <c r="G523" s="436">
        <v>0.1</v>
      </c>
      <c r="H523" s="539">
        <f t="shared" si="179"/>
        <v>169.17120000000003</v>
      </c>
      <c r="I523" s="540" t="s">
        <v>427</v>
      </c>
      <c r="J523" s="553">
        <f t="shared" si="181"/>
        <v>0</v>
      </c>
      <c r="K523" s="554">
        <f t="shared" si="180"/>
        <v>0</v>
      </c>
      <c r="L523" s="120"/>
      <c r="M523" s="558"/>
    </row>
    <row r="524" spans="1:13" s="187" customFormat="1" x14ac:dyDescent="0.2">
      <c r="A524" s="111">
        <f>IF(F524&lt;&gt;"",1+MAX($A$6:A523),"")</f>
        <v>409</v>
      </c>
      <c r="B524" s="533" t="s">
        <v>1247</v>
      </c>
      <c r="C524" s="534" t="s">
        <v>1086</v>
      </c>
      <c r="D524" s="122"/>
      <c r="E524" s="555" t="s">
        <v>1255</v>
      </c>
      <c r="F524" s="552">
        <f>27/0.5*(2*1+2*2.5+0.5)*0.668*1.2</f>
        <v>324.64800000000002</v>
      </c>
      <c r="G524" s="436">
        <v>0.1</v>
      </c>
      <c r="H524" s="539">
        <f t="shared" si="179"/>
        <v>357.11280000000005</v>
      </c>
      <c r="I524" s="540" t="s">
        <v>427</v>
      </c>
      <c r="J524" s="553">
        <f t="shared" si="181"/>
        <v>0</v>
      </c>
      <c r="K524" s="554">
        <f t="shared" si="180"/>
        <v>0</v>
      </c>
      <c r="L524" s="120"/>
      <c r="M524" s="558"/>
    </row>
    <row r="525" spans="1:13" s="187" customFormat="1" ht="63" x14ac:dyDescent="0.2">
      <c r="A525" s="111" t="str">
        <f>IF(F525&lt;&gt;"",1+MAX($A$6:A524),"")</f>
        <v/>
      </c>
      <c r="B525" s="533"/>
      <c r="C525" s="534"/>
      <c r="D525" s="122"/>
      <c r="E525" s="563" t="s">
        <v>1265</v>
      </c>
      <c r="F525" s="552"/>
      <c r="G525" s="436"/>
      <c r="H525" s="539"/>
      <c r="I525" s="540"/>
      <c r="J525" s="553"/>
      <c r="K525" s="554"/>
      <c r="L525" s="120"/>
      <c r="M525" s="558"/>
    </row>
    <row r="526" spans="1:13" s="187" customFormat="1" x14ac:dyDescent="0.2">
      <c r="A526" s="111">
        <f>IF(F526&lt;&gt;"",1+MAX($A$6:A525),"")</f>
        <v>410</v>
      </c>
      <c r="B526" s="533" t="s">
        <v>1247</v>
      </c>
      <c r="C526" s="534" t="s">
        <v>1086</v>
      </c>
      <c r="D526" s="122"/>
      <c r="E526" s="555" t="s">
        <v>1027</v>
      </c>
      <c r="F526" s="564">
        <f>22*1*2.5/22</f>
        <v>2.5</v>
      </c>
      <c r="G526" s="436">
        <v>0.1</v>
      </c>
      <c r="H526" s="569">
        <f t="shared" ref="H526:H531" si="182">F526*(1+G526)</f>
        <v>2.75</v>
      </c>
      <c r="I526" s="540" t="s">
        <v>1028</v>
      </c>
      <c r="J526" s="553">
        <f>$J$11</f>
        <v>0</v>
      </c>
      <c r="K526" s="554">
        <f t="shared" ref="K526:K531" si="183">J526*H526</f>
        <v>0</v>
      </c>
      <c r="L526" s="120"/>
      <c r="M526" s="558"/>
    </row>
    <row r="527" spans="1:13" s="187" customFormat="1" x14ac:dyDescent="0.2">
      <c r="A527" s="111">
        <f>IF(F527&lt;&gt;"",1+MAX($A$6:A526),"")</f>
        <v>411</v>
      </c>
      <c r="B527" s="533" t="s">
        <v>1247</v>
      </c>
      <c r="C527" s="534" t="s">
        <v>1086</v>
      </c>
      <c r="D527" s="122"/>
      <c r="E527" s="555" t="s">
        <v>1206</v>
      </c>
      <c r="F527" s="552">
        <f>22*2.5*2</f>
        <v>110</v>
      </c>
      <c r="G527" s="436">
        <v>0.1</v>
      </c>
      <c r="H527" s="539">
        <f t="shared" si="182"/>
        <v>121.00000000000001</v>
      </c>
      <c r="I527" s="540" t="s">
        <v>1030</v>
      </c>
      <c r="J527" s="553">
        <f>J$385</f>
        <v>0</v>
      </c>
      <c r="K527" s="554">
        <f t="shared" si="183"/>
        <v>0</v>
      </c>
      <c r="L527" s="120"/>
      <c r="M527" s="558"/>
    </row>
    <row r="528" spans="1:13" s="187" customFormat="1" x14ac:dyDescent="0.2">
      <c r="A528" s="111">
        <f>IF(F528&lt;&gt;"",1+MAX($A$6:A527),"")</f>
        <v>412</v>
      </c>
      <c r="B528" s="533" t="s">
        <v>1247</v>
      </c>
      <c r="C528" s="534" t="s">
        <v>1086</v>
      </c>
      <c r="D528" s="122"/>
      <c r="E528" s="555" t="s">
        <v>1257</v>
      </c>
      <c r="F528" s="552">
        <f>2*22*2.044*1.2</f>
        <v>107.92320000000001</v>
      </c>
      <c r="G528" s="436">
        <v>0.1</v>
      </c>
      <c r="H528" s="539">
        <f t="shared" si="182"/>
        <v>118.71552000000001</v>
      </c>
      <c r="I528" s="540" t="s">
        <v>427</v>
      </c>
      <c r="J528" s="553">
        <f t="shared" ref="J528:J531" si="184">$J$15</f>
        <v>0</v>
      </c>
      <c r="K528" s="554">
        <f t="shared" si="183"/>
        <v>0</v>
      </c>
      <c r="L528" s="120"/>
      <c r="M528" s="558"/>
    </row>
    <row r="529" spans="1:13" s="187" customFormat="1" x14ac:dyDescent="0.2">
      <c r="A529" s="111">
        <f>IF(F529&lt;&gt;"",1+MAX($A$6:A528),"")</f>
        <v>413</v>
      </c>
      <c r="B529" s="533" t="s">
        <v>1247</v>
      </c>
      <c r="C529" s="534" t="s">
        <v>1086</v>
      </c>
      <c r="D529" s="122"/>
      <c r="E529" s="555" t="s">
        <v>1263</v>
      </c>
      <c r="F529" s="552">
        <f>3*22*3.4*1.2</f>
        <v>269.27999999999997</v>
      </c>
      <c r="G529" s="436">
        <v>0.1</v>
      </c>
      <c r="H529" s="539">
        <f t="shared" si="182"/>
        <v>296.20799999999997</v>
      </c>
      <c r="I529" s="540" t="s">
        <v>427</v>
      </c>
      <c r="J529" s="553">
        <f t="shared" si="184"/>
        <v>0</v>
      </c>
      <c r="K529" s="554">
        <f t="shared" si="183"/>
        <v>0</v>
      </c>
      <c r="L529" s="120"/>
      <c r="M529" s="558"/>
    </row>
    <row r="530" spans="1:13" s="187" customFormat="1" x14ac:dyDescent="0.2">
      <c r="A530" s="111">
        <f>IF(F530&lt;&gt;"",1+MAX($A$6:A529),"")</f>
        <v>414</v>
      </c>
      <c r="B530" s="533" t="s">
        <v>1247</v>
      </c>
      <c r="C530" s="534" t="s">
        <v>1086</v>
      </c>
      <c r="D530" s="122"/>
      <c r="E530" s="555" t="s">
        <v>1264</v>
      </c>
      <c r="F530" s="552">
        <f>2*24*2.67*1.2</f>
        <v>153.792</v>
      </c>
      <c r="G530" s="436">
        <v>0.1</v>
      </c>
      <c r="H530" s="539">
        <f t="shared" si="182"/>
        <v>169.17120000000003</v>
      </c>
      <c r="I530" s="540" t="s">
        <v>427</v>
      </c>
      <c r="J530" s="553">
        <f t="shared" si="184"/>
        <v>0</v>
      </c>
      <c r="K530" s="554">
        <f t="shared" si="183"/>
        <v>0</v>
      </c>
      <c r="L530" s="120"/>
      <c r="M530" s="558"/>
    </row>
    <row r="531" spans="1:13" s="187" customFormat="1" x14ac:dyDescent="0.2">
      <c r="A531" s="111">
        <f>IF(F531&lt;&gt;"",1+MAX($A$6:A530),"")</f>
        <v>415</v>
      </c>
      <c r="B531" s="533" t="s">
        <v>1247</v>
      </c>
      <c r="C531" s="534" t="s">
        <v>1086</v>
      </c>
      <c r="D531" s="122"/>
      <c r="E531" s="555" t="s">
        <v>1255</v>
      </c>
      <c r="F531" s="552">
        <f>22/0.5*(2*1+2*2.5+0.5)*0.668*1.2</f>
        <v>264.52800000000002</v>
      </c>
      <c r="G531" s="436">
        <v>0.1</v>
      </c>
      <c r="H531" s="539">
        <f t="shared" si="182"/>
        <v>290.98080000000004</v>
      </c>
      <c r="I531" s="540" t="s">
        <v>427</v>
      </c>
      <c r="J531" s="553">
        <f t="shared" si="184"/>
        <v>0</v>
      </c>
      <c r="K531" s="554">
        <f t="shared" si="183"/>
        <v>0</v>
      </c>
      <c r="L531" s="120"/>
      <c r="M531" s="558"/>
    </row>
    <row r="532" spans="1:13" s="187" customFormat="1" ht="63" x14ac:dyDescent="0.2">
      <c r="A532" s="111" t="str">
        <f>IF(F532&lt;&gt;"",1+MAX($A$6:A531),"")</f>
        <v/>
      </c>
      <c r="B532" s="533"/>
      <c r="C532" s="534"/>
      <c r="D532" s="122"/>
      <c r="E532" s="563" t="s">
        <v>1266</v>
      </c>
      <c r="F532" s="552"/>
      <c r="G532" s="436"/>
      <c r="H532" s="539"/>
      <c r="I532" s="540"/>
      <c r="J532" s="553"/>
      <c r="K532" s="554"/>
      <c r="L532" s="120"/>
      <c r="M532" s="558"/>
    </row>
    <row r="533" spans="1:13" s="187" customFormat="1" x14ac:dyDescent="0.2">
      <c r="A533" s="111">
        <f>IF(F533&lt;&gt;"",1+MAX($A$6:A532),"")</f>
        <v>416</v>
      </c>
      <c r="B533" s="533" t="s">
        <v>1247</v>
      </c>
      <c r="C533" s="534" t="s">
        <v>1086</v>
      </c>
      <c r="D533" s="122"/>
      <c r="E533" s="555" t="s">
        <v>1027</v>
      </c>
      <c r="F533" s="564">
        <f>11*0.83*1/27</f>
        <v>0.33814814814814809</v>
      </c>
      <c r="G533" s="436">
        <v>0.1</v>
      </c>
      <c r="H533" s="569">
        <f>F533*(1+G533)</f>
        <v>0.37196296296296294</v>
      </c>
      <c r="I533" s="540" t="s">
        <v>1028</v>
      </c>
      <c r="J533" s="553">
        <f>$J$11</f>
        <v>0</v>
      </c>
      <c r="K533" s="554">
        <f>J533*H533</f>
        <v>0</v>
      </c>
      <c r="L533" s="120"/>
      <c r="M533" s="558"/>
    </row>
    <row r="534" spans="1:13" s="187" customFormat="1" x14ac:dyDescent="0.2">
      <c r="A534" s="111">
        <f>IF(F534&lt;&gt;"",1+MAX($A$6:A533),"")</f>
        <v>417</v>
      </c>
      <c r="B534" s="533" t="s">
        <v>1247</v>
      </c>
      <c r="C534" s="534" t="s">
        <v>1086</v>
      </c>
      <c r="D534" s="122"/>
      <c r="E534" s="555" t="s">
        <v>1206</v>
      </c>
      <c r="F534" s="552">
        <f>11*1.25*2</f>
        <v>27.5</v>
      </c>
      <c r="G534" s="436">
        <v>0.1</v>
      </c>
      <c r="H534" s="539">
        <f>F534*(1+G534)</f>
        <v>30.250000000000004</v>
      </c>
      <c r="I534" s="540" t="s">
        <v>1030</v>
      </c>
      <c r="J534" s="553">
        <f>J$385</f>
        <v>0</v>
      </c>
      <c r="K534" s="554">
        <f>J534*H534</f>
        <v>0</v>
      </c>
      <c r="L534" s="120"/>
      <c r="M534" s="558"/>
    </row>
    <row r="535" spans="1:13" s="187" customFormat="1" x14ac:dyDescent="0.2">
      <c r="A535" s="111">
        <f>IF(F535&lt;&gt;"",1+MAX($A$6:A534),"")</f>
        <v>418</v>
      </c>
      <c r="B535" s="533" t="s">
        <v>1247</v>
      </c>
      <c r="C535" s="534" t="s">
        <v>1086</v>
      </c>
      <c r="D535" s="122"/>
      <c r="E535" s="555" t="s">
        <v>1207</v>
      </c>
      <c r="F535" s="552">
        <f>6*11*1.5*1.2</f>
        <v>118.8</v>
      </c>
      <c r="G535" s="436">
        <v>0.1</v>
      </c>
      <c r="H535" s="539">
        <f>F535*(1+G535)</f>
        <v>130.68</v>
      </c>
      <c r="I535" s="540" t="s">
        <v>427</v>
      </c>
      <c r="J535" s="553">
        <f t="shared" ref="J535:J536" si="185">$J$15</f>
        <v>0</v>
      </c>
      <c r="K535" s="554">
        <f>J535*H535</f>
        <v>0</v>
      </c>
      <c r="L535" s="120"/>
      <c r="M535" s="558"/>
    </row>
    <row r="536" spans="1:13" s="187" customFormat="1" x14ac:dyDescent="0.2">
      <c r="A536" s="111">
        <f>IF(F536&lt;&gt;"",1+MAX($A$6:A535),"")</f>
        <v>419</v>
      </c>
      <c r="B536" s="533" t="s">
        <v>1247</v>
      </c>
      <c r="C536" s="534" t="s">
        <v>1086</v>
      </c>
      <c r="D536" s="122"/>
      <c r="E536" s="555" t="s">
        <v>1267</v>
      </c>
      <c r="F536" s="552">
        <f>(11/0.42+1)*(2*0.83+2*1+0.5)*0.376*1.2</f>
        <v>51.036306285714289</v>
      </c>
      <c r="G536" s="436">
        <v>0.1</v>
      </c>
      <c r="H536" s="539">
        <f>F536*(1+G536)</f>
        <v>56.13993691428572</v>
      </c>
      <c r="I536" s="540" t="s">
        <v>427</v>
      </c>
      <c r="J536" s="553">
        <f t="shared" si="185"/>
        <v>0</v>
      </c>
      <c r="K536" s="554">
        <f>J536*H536</f>
        <v>0</v>
      </c>
      <c r="L536" s="120"/>
      <c r="M536" s="558"/>
    </row>
    <row r="537" spans="1:13" s="187" customFormat="1" ht="63" x14ac:dyDescent="0.2">
      <c r="A537" s="111" t="str">
        <f>IF(F537&lt;&gt;"",1+MAX($A$6:A536),"")</f>
        <v/>
      </c>
      <c r="B537" s="533"/>
      <c r="C537" s="534"/>
      <c r="D537" s="122"/>
      <c r="E537" s="563" t="s">
        <v>1268</v>
      </c>
      <c r="F537" s="552"/>
      <c r="G537" s="436"/>
      <c r="H537" s="539"/>
      <c r="I537" s="540"/>
      <c r="J537" s="553"/>
      <c r="K537" s="554"/>
      <c r="L537" s="120"/>
      <c r="M537" s="558"/>
    </row>
    <row r="538" spans="1:13" s="187" customFormat="1" x14ac:dyDescent="0.2">
      <c r="A538" s="111">
        <f>IF(F538&lt;&gt;"",1+MAX($A$6:A537),"")</f>
        <v>420</v>
      </c>
      <c r="B538" s="533" t="s">
        <v>1177</v>
      </c>
      <c r="C538" s="562" t="s">
        <v>437</v>
      </c>
      <c r="D538" s="122"/>
      <c r="E538" s="555" t="s">
        <v>1027</v>
      </c>
      <c r="F538" s="564">
        <f>12*0.83*4/27</f>
        <v>1.4755555555555555</v>
      </c>
      <c r="G538" s="436">
        <v>0.1</v>
      </c>
      <c r="H538" s="569">
        <f>F538*(1+G538)</f>
        <v>1.6231111111111112</v>
      </c>
      <c r="I538" s="540" t="s">
        <v>1028</v>
      </c>
      <c r="J538" s="553">
        <f>$J$11</f>
        <v>0</v>
      </c>
      <c r="K538" s="554">
        <f>J538*H538</f>
        <v>0</v>
      </c>
      <c r="L538" s="120"/>
      <c r="M538" s="558"/>
    </row>
    <row r="539" spans="1:13" s="187" customFormat="1" x14ac:dyDescent="0.2">
      <c r="A539" s="111">
        <f>IF(F539&lt;&gt;"",1+MAX($A$6:A538),"")</f>
        <v>421</v>
      </c>
      <c r="B539" s="533" t="s">
        <v>1177</v>
      </c>
      <c r="C539" s="562" t="s">
        <v>437</v>
      </c>
      <c r="D539" s="122"/>
      <c r="E539" s="555" t="s">
        <v>1206</v>
      </c>
      <c r="F539" s="552">
        <f>12*4*2</f>
        <v>96</v>
      </c>
      <c r="G539" s="436">
        <v>0.1</v>
      </c>
      <c r="H539" s="539">
        <f>F539*(1+G539)</f>
        <v>105.60000000000001</v>
      </c>
      <c r="I539" s="540" t="s">
        <v>1030</v>
      </c>
      <c r="J539" s="553">
        <f>J$385</f>
        <v>0</v>
      </c>
      <c r="K539" s="554">
        <f>J539*H539</f>
        <v>0</v>
      </c>
      <c r="L539" s="120"/>
      <c r="M539" s="558"/>
    </row>
    <row r="540" spans="1:13" s="187" customFormat="1" x14ac:dyDescent="0.2">
      <c r="A540" s="111">
        <f>IF(F540&lt;&gt;"",1+MAX($A$6:A539),"")</f>
        <v>422</v>
      </c>
      <c r="B540" s="533" t="s">
        <v>1177</v>
      </c>
      <c r="C540" s="562" t="s">
        <v>437</v>
      </c>
      <c r="D540" s="122"/>
      <c r="E540" s="555" t="s">
        <v>1214</v>
      </c>
      <c r="F540" s="552">
        <f>4*12*3.4*1.2</f>
        <v>195.83999999999997</v>
      </c>
      <c r="G540" s="436">
        <v>0.1</v>
      </c>
      <c r="H540" s="539">
        <f>F540*(1+G540)</f>
        <v>215.42399999999998</v>
      </c>
      <c r="I540" s="540" t="s">
        <v>427</v>
      </c>
      <c r="J540" s="553">
        <f t="shared" ref="J540:J541" si="186">$J$15</f>
        <v>0</v>
      </c>
      <c r="K540" s="554">
        <f>J540*H540</f>
        <v>0</v>
      </c>
      <c r="L540" s="120"/>
      <c r="M540" s="558"/>
    </row>
    <row r="541" spans="1:13" s="187" customFormat="1" x14ac:dyDescent="0.2">
      <c r="A541" s="111">
        <f>IF(F541&lt;&gt;"",1+MAX($A$6:A540),"")</f>
        <v>423</v>
      </c>
      <c r="B541" s="533" t="s">
        <v>1177</v>
      </c>
      <c r="C541" s="562" t="s">
        <v>437</v>
      </c>
      <c r="D541" s="122"/>
      <c r="E541" s="555" t="s">
        <v>1232</v>
      </c>
      <c r="F541" s="552">
        <f>(12/0.33+1)*(2*0.83+2*4+0.5)*0.668*1.2</f>
        <v>304.2990196363636</v>
      </c>
      <c r="G541" s="436">
        <v>0.1</v>
      </c>
      <c r="H541" s="539">
        <f>F541*(1+G541)</f>
        <v>334.72892159999998</v>
      </c>
      <c r="I541" s="540" t="s">
        <v>427</v>
      </c>
      <c r="J541" s="553">
        <f t="shared" si="186"/>
        <v>0</v>
      </c>
      <c r="K541" s="554">
        <f>J541*H541</f>
        <v>0</v>
      </c>
      <c r="L541" s="120"/>
      <c r="M541" s="558"/>
    </row>
    <row r="542" spans="1:13" s="187" customFormat="1" ht="16.5" thickBot="1" x14ac:dyDescent="0.25">
      <c r="A542" s="111" t="str">
        <f>IF(F542&lt;&gt;"",1+MAX($A$6:A541),"")</f>
        <v/>
      </c>
      <c r="B542" s="533"/>
      <c r="C542" s="534"/>
      <c r="D542" s="122"/>
      <c r="E542" s="559"/>
      <c r="F542" s="560"/>
      <c r="G542" s="436"/>
      <c r="H542" s="539"/>
      <c r="I542" s="540"/>
      <c r="J542" s="553"/>
      <c r="K542" s="554"/>
      <c r="L542" s="120"/>
      <c r="M542" s="558"/>
    </row>
    <row r="543" spans="1:13" s="187" customFormat="1" ht="16.5" thickBot="1" x14ac:dyDescent="0.25">
      <c r="A543" s="111" t="str">
        <f>IF(F543&lt;&gt;"",1+MAX($A$6:A542),"")</f>
        <v/>
      </c>
      <c r="B543" s="533"/>
      <c r="C543" s="542"/>
      <c r="D543" s="543"/>
      <c r="E543" s="561" t="s">
        <v>1200</v>
      </c>
      <c r="F543" s="537"/>
      <c r="G543" s="546"/>
      <c r="H543" s="547"/>
      <c r="I543" s="548"/>
      <c r="J543" s="226"/>
      <c r="K543" s="549"/>
      <c r="L543" s="120"/>
    </row>
    <row r="544" spans="1:13" s="187" customFormat="1" x14ac:dyDescent="0.2">
      <c r="A544" s="111">
        <f>IF(F544&lt;&gt;"",1+MAX($A$6:A543),"")</f>
        <v>424</v>
      </c>
      <c r="B544" s="533" t="s">
        <v>1247</v>
      </c>
      <c r="C544" s="534" t="s">
        <v>1201</v>
      </c>
      <c r="D544" s="122"/>
      <c r="E544" s="555" t="s">
        <v>1027</v>
      </c>
      <c r="F544" s="552">
        <f>735*0.83/27</f>
        <v>22.594444444444441</v>
      </c>
      <c r="G544" s="436">
        <v>0.1</v>
      </c>
      <c r="H544" s="539">
        <f>F544*(1+G544)</f>
        <v>24.853888888888889</v>
      </c>
      <c r="I544" s="540" t="s">
        <v>1028</v>
      </c>
      <c r="J544" s="553">
        <f>$J$11</f>
        <v>0</v>
      </c>
      <c r="K544" s="554">
        <f>J544*H544</f>
        <v>0</v>
      </c>
      <c r="L544" s="120"/>
      <c r="M544" s="558"/>
    </row>
    <row r="545" spans="1:13" s="187" customFormat="1" x14ac:dyDescent="0.2">
      <c r="A545" s="111">
        <f>IF(F545&lt;&gt;"",1+MAX($A$6:A544),"")</f>
        <v>425</v>
      </c>
      <c r="B545" s="533" t="s">
        <v>1247</v>
      </c>
      <c r="C545" s="534" t="s">
        <v>1201</v>
      </c>
      <c r="D545" s="122"/>
      <c r="E545" s="555" t="s">
        <v>1202</v>
      </c>
      <c r="F545" s="552">
        <f>327*0.83</f>
        <v>271.40999999999997</v>
      </c>
      <c r="G545" s="436">
        <v>0.1</v>
      </c>
      <c r="H545" s="539">
        <f t="shared" ref="H545:H546" si="187">F545*(1+G545)</f>
        <v>298.55099999999999</v>
      </c>
      <c r="I545" s="540" t="s">
        <v>1030</v>
      </c>
      <c r="J545" s="553">
        <f>J$340</f>
        <v>0</v>
      </c>
      <c r="K545" s="554">
        <f t="shared" ref="K545:K546" si="188">J545*H545</f>
        <v>0</v>
      </c>
      <c r="L545" s="120"/>
      <c r="M545" s="558"/>
    </row>
    <row r="546" spans="1:13" s="187" customFormat="1" x14ac:dyDescent="0.2">
      <c r="A546" s="111">
        <f>IF(F546&lt;&gt;"",1+MAX($A$6:A545),"")</f>
        <v>426</v>
      </c>
      <c r="B546" s="533" t="s">
        <v>1247</v>
      </c>
      <c r="C546" s="534" t="s">
        <v>1201</v>
      </c>
      <c r="D546" s="122"/>
      <c r="E546" s="555" t="s">
        <v>1203</v>
      </c>
      <c r="F546" s="552">
        <f>1.043*1.2*2*1.13*(735)</f>
        <v>2079.0327599999996</v>
      </c>
      <c r="G546" s="436">
        <v>0.1</v>
      </c>
      <c r="H546" s="539">
        <f t="shared" si="187"/>
        <v>2286.9360359999996</v>
      </c>
      <c r="I546" s="540" t="s">
        <v>427</v>
      </c>
      <c r="J546" s="553">
        <f>$J$15</f>
        <v>0</v>
      </c>
      <c r="K546" s="554">
        <f t="shared" si="188"/>
        <v>0</v>
      </c>
      <c r="L546" s="120"/>
      <c r="M546" s="558"/>
    </row>
    <row r="547" spans="1:13" s="187" customFormat="1" ht="16.5" thickBot="1" x14ac:dyDescent="0.25">
      <c r="A547" s="111" t="str">
        <f>IF(F547&lt;&gt;"",1+MAX($A$6:A546),"")</f>
        <v/>
      </c>
      <c r="B547" s="533"/>
      <c r="C547" s="534"/>
      <c r="D547" s="122"/>
      <c r="E547" s="559"/>
      <c r="F547" s="560"/>
      <c r="G547" s="436"/>
      <c r="H547" s="539"/>
      <c r="I547" s="540"/>
      <c r="J547" s="553"/>
      <c r="K547" s="554"/>
      <c r="L547" s="120"/>
      <c r="M547" s="558"/>
    </row>
    <row r="548" spans="1:13" s="187" customFormat="1" ht="16.5" thickBot="1" x14ac:dyDescent="0.25">
      <c r="A548" s="111" t="str">
        <f>IF(F548&lt;&gt;"",1+MAX($A$6:A547),"")</f>
        <v/>
      </c>
      <c r="B548" s="533"/>
      <c r="C548" s="542"/>
      <c r="D548" s="543"/>
      <c r="E548" s="561" t="s">
        <v>1269</v>
      </c>
      <c r="F548" s="537"/>
      <c r="G548" s="546"/>
      <c r="H548" s="547"/>
      <c r="I548" s="548"/>
      <c r="J548" s="226"/>
      <c r="K548" s="549"/>
      <c r="L548" s="120"/>
    </row>
    <row r="549" spans="1:13" s="187" customFormat="1" ht="31.5" x14ac:dyDescent="0.2">
      <c r="A549" s="111">
        <f>IF(F549&lt;&gt;"",1+MAX($A$6:A548),"")</f>
        <v>427</v>
      </c>
      <c r="B549" s="533" t="s">
        <v>1270</v>
      </c>
      <c r="C549" s="534" t="s">
        <v>1271</v>
      </c>
      <c r="D549" s="566">
        <f>H549*0.25/27</f>
        <v>8.6879629629629633</v>
      </c>
      <c r="E549" s="555" t="s">
        <v>1272</v>
      </c>
      <c r="F549" s="552">
        <v>853</v>
      </c>
      <c r="G549" s="436">
        <v>0.1</v>
      </c>
      <c r="H549" s="539">
        <f t="shared" ref="H549:H550" si="189">F549*(1+G549)</f>
        <v>938.30000000000007</v>
      </c>
      <c r="I549" s="540" t="s">
        <v>18</v>
      </c>
      <c r="J549" s="556">
        <v>0</v>
      </c>
      <c r="K549" s="554">
        <f t="shared" ref="K549:K550" si="190">J549*H549</f>
        <v>0</v>
      </c>
      <c r="L549" s="120"/>
      <c r="M549" s="558"/>
    </row>
    <row r="550" spans="1:13" s="187" customFormat="1" x14ac:dyDescent="0.2">
      <c r="A550" s="111">
        <f>IF(F550&lt;&gt;"",1+MAX($A$6:A549),"")</f>
        <v>428</v>
      </c>
      <c r="B550" s="533" t="s">
        <v>1270</v>
      </c>
      <c r="C550" s="534" t="s">
        <v>1271</v>
      </c>
      <c r="D550" s="122"/>
      <c r="E550" s="555" t="s">
        <v>1157</v>
      </c>
      <c r="F550" s="552">
        <v>470</v>
      </c>
      <c r="G550" s="436">
        <v>0.1</v>
      </c>
      <c r="H550" s="539">
        <f t="shared" si="189"/>
        <v>517</v>
      </c>
      <c r="I550" s="540" t="s">
        <v>15</v>
      </c>
      <c r="J550" s="553">
        <f>$J$320</f>
        <v>0</v>
      </c>
      <c r="K550" s="554">
        <f t="shared" si="190"/>
        <v>0</v>
      </c>
      <c r="L550" s="120"/>
      <c r="M550" s="558"/>
    </row>
    <row r="551" spans="1:13" s="187" customFormat="1" ht="16.5" thickBot="1" x14ac:dyDescent="0.25">
      <c r="A551" s="111" t="str">
        <f>IF(F551&lt;&gt;"",1+MAX($A$6:A550),"")</f>
        <v/>
      </c>
      <c r="B551" s="533"/>
      <c r="C551" s="534"/>
      <c r="D551" s="122"/>
      <c r="E551" s="559"/>
      <c r="F551" s="560"/>
      <c r="G551" s="436"/>
      <c r="H551" s="539"/>
      <c r="I551" s="540"/>
      <c r="J551" s="553"/>
      <c r="K551" s="554"/>
      <c r="L551" s="120"/>
      <c r="M551" s="558"/>
    </row>
    <row r="552" spans="1:13" s="187" customFormat="1" ht="16.5" thickBot="1" x14ac:dyDescent="0.25">
      <c r="A552" s="111" t="str">
        <f>IF(F552&lt;&gt;"",1+MAX($A$6:A551),"")</f>
        <v/>
      </c>
      <c r="B552" s="533"/>
      <c r="C552" s="542"/>
      <c r="D552" s="543"/>
      <c r="E552" s="561" t="s">
        <v>1273</v>
      </c>
      <c r="F552" s="537"/>
      <c r="G552" s="546"/>
      <c r="H552" s="547"/>
      <c r="I552" s="548"/>
      <c r="J552" s="226"/>
      <c r="K552" s="549"/>
      <c r="L552" s="120"/>
    </row>
    <row r="553" spans="1:13" s="187" customFormat="1" x14ac:dyDescent="0.2">
      <c r="A553" s="111">
        <f>IF(F553&lt;&gt;"",1+MAX($A$6:A552),"")</f>
        <v>429</v>
      </c>
      <c r="B553" s="533" t="s">
        <v>1274</v>
      </c>
      <c r="C553" s="534" t="s">
        <v>1275</v>
      </c>
      <c r="D553" s="122"/>
      <c r="E553" s="555" t="s">
        <v>1027</v>
      </c>
      <c r="F553" s="552">
        <f>1.3*3.75*53/27</f>
        <v>9.5694444444444446</v>
      </c>
      <c r="G553" s="436">
        <v>0.1</v>
      </c>
      <c r="H553" s="539">
        <f t="shared" ref="H553:H559" si="191">F553*(1+G553)</f>
        <v>10.52638888888889</v>
      </c>
      <c r="I553" s="540" t="s">
        <v>1028</v>
      </c>
      <c r="J553" s="553">
        <f>$J$11</f>
        <v>0</v>
      </c>
      <c r="K553" s="554">
        <f t="shared" ref="K553:K559" si="192">J553*H553</f>
        <v>0</v>
      </c>
      <c r="L553" s="120"/>
      <c r="M553" s="558"/>
    </row>
    <row r="554" spans="1:13" s="187" customFormat="1" x14ac:dyDescent="0.2">
      <c r="A554" s="111">
        <f>IF(F554&lt;&gt;"",1+MAX($A$6:A553),"")</f>
        <v>430</v>
      </c>
      <c r="B554" s="533" t="s">
        <v>1274</v>
      </c>
      <c r="C554" s="534" t="s">
        <v>1275</v>
      </c>
      <c r="D554" s="122"/>
      <c r="E554" s="555" t="s">
        <v>1276</v>
      </c>
      <c r="F554" s="552">
        <f>0.668*1.2*1.13*1.3*3.75*23/0.67</f>
        <v>151.58764477611936</v>
      </c>
      <c r="G554" s="436">
        <v>0.1</v>
      </c>
      <c r="H554" s="539">
        <f t="shared" si="191"/>
        <v>166.74640925373131</v>
      </c>
      <c r="I554" s="540" t="s">
        <v>427</v>
      </c>
      <c r="J554" s="553">
        <f t="shared" ref="J554:J555" si="193">$J$15</f>
        <v>0</v>
      </c>
      <c r="K554" s="554">
        <f t="shared" si="192"/>
        <v>0</v>
      </c>
      <c r="L554" s="120"/>
      <c r="M554" s="558"/>
    </row>
    <row r="555" spans="1:13" s="187" customFormat="1" x14ac:dyDescent="0.2">
      <c r="A555" s="111">
        <f>IF(F555&lt;&gt;"",1+MAX($A$6:A554),"")</f>
        <v>431</v>
      </c>
      <c r="B555" s="533" t="s">
        <v>1274</v>
      </c>
      <c r="C555" s="534" t="s">
        <v>1275</v>
      </c>
      <c r="D555" s="122"/>
      <c r="E555" s="555" t="s">
        <v>1277</v>
      </c>
      <c r="F555" s="552">
        <f>1.043*1.2*1.13*1.3*3.75*23/1.33</f>
        <v>119.23254473684207</v>
      </c>
      <c r="G555" s="436">
        <v>0.1</v>
      </c>
      <c r="H555" s="539">
        <f t="shared" si="191"/>
        <v>131.15579921052628</v>
      </c>
      <c r="I555" s="540" t="s">
        <v>427</v>
      </c>
      <c r="J555" s="553">
        <f t="shared" si="193"/>
        <v>0</v>
      </c>
      <c r="K555" s="554">
        <f t="shared" si="192"/>
        <v>0</v>
      </c>
      <c r="L555" s="120"/>
      <c r="M555" s="558"/>
    </row>
    <row r="556" spans="1:13" s="187" customFormat="1" x14ac:dyDescent="0.2">
      <c r="A556" s="111">
        <f>IF(F556&lt;&gt;"",1+MAX($A$6:A555),"")</f>
        <v>432</v>
      </c>
      <c r="B556" s="533" t="s">
        <v>1274</v>
      </c>
      <c r="C556" s="534" t="s">
        <v>1275</v>
      </c>
      <c r="D556" s="122"/>
      <c r="E556" s="555" t="s">
        <v>1278</v>
      </c>
      <c r="F556" s="552">
        <f>1.3*2*53+53*3.75*0.58+258</f>
        <v>511.07499999999999</v>
      </c>
      <c r="G556" s="436">
        <v>0.1</v>
      </c>
      <c r="H556" s="539">
        <f t="shared" si="191"/>
        <v>562.1825</v>
      </c>
      <c r="I556" s="540" t="s">
        <v>1030</v>
      </c>
      <c r="J556" s="553">
        <f>J$209</f>
        <v>0</v>
      </c>
      <c r="K556" s="554">
        <f t="shared" si="192"/>
        <v>0</v>
      </c>
      <c r="L556" s="120"/>
      <c r="M556" s="558"/>
    </row>
    <row r="557" spans="1:13" s="187" customFormat="1" x14ac:dyDescent="0.2">
      <c r="A557" s="111">
        <f>IF(F557&lt;&gt;"",1+MAX($A$6:A556),"")</f>
        <v>433</v>
      </c>
      <c r="B557" s="533" t="s">
        <v>1274</v>
      </c>
      <c r="C557" s="534" t="s">
        <v>1275</v>
      </c>
      <c r="D557" s="122"/>
      <c r="E557" s="555" t="s">
        <v>1180</v>
      </c>
      <c r="F557" s="552">
        <v>258</v>
      </c>
      <c r="G557" s="436">
        <v>0.1</v>
      </c>
      <c r="H557" s="539">
        <f t="shared" si="191"/>
        <v>283.8</v>
      </c>
      <c r="I557" s="540" t="s">
        <v>18</v>
      </c>
      <c r="J557" s="553">
        <f>$J$348</f>
        <v>0</v>
      </c>
      <c r="K557" s="554">
        <f t="shared" si="192"/>
        <v>0</v>
      </c>
      <c r="L557" s="120"/>
      <c r="M557" s="558"/>
    </row>
    <row r="558" spans="1:13" s="187" customFormat="1" x14ac:dyDescent="0.2">
      <c r="A558" s="111">
        <f>IF(F558&lt;&gt;"",1+MAX($A$6:A557),"")</f>
        <v>434</v>
      </c>
      <c r="B558" s="533" t="s">
        <v>1274</v>
      </c>
      <c r="C558" s="534" t="s">
        <v>1275</v>
      </c>
      <c r="D558" s="122"/>
      <c r="E558" s="555" t="s">
        <v>1279</v>
      </c>
      <c r="F558" s="552">
        <f>53*4</f>
        <v>212</v>
      </c>
      <c r="G558" s="436">
        <v>0.1</v>
      </c>
      <c r="H558" s="539">
        <f t="shared" si="191"/>
        <v>233.20000000000002</v>
      </c>
      <c r="I558" s="540" t="s">
        <v>15</v>
      </c>
      <c r="J558" s="556">
        <v>0</v>
      </c>
      <c r="K558" s="554">
        <f t="shared" si="192"/>
        <v>0</v>
      </c>
      <c r="L558" s="120"/>
      <c r="M558" s="558"/>
    </row>
    <row r="559" spans="1:13" s="187" customFormat="1" x14ac:dyDescent="0.2">
      <c r="A559" s="111">
        <f>IF(F559&lt;&gt;"",1+MAX($A$6:A558),"")</f>
        <v>435</v>
      </c>
      <c r="B559" s="533" t="s">
        <v>1274</v>
      </c>
      <c r="C559" s="534" t="s">
        <v>1275</v>
      </c>
      <c r="D559" s="122"/>
      <c r="E559" s="555" t="s">
        <v>1280</v>
      </c>
      <c r="F559" s="552">
        <f>1.3*53/1.33+1</f>
        <v>52.804511278195491</v>
      </c>
      <c r="G559" s="436">
        <v>0</v>
      </c>
      <c r="H559" s="539">
        <f t="shared" si="191"/>
        <v>52.804511278195491</v>
      </c>
      <c r="I559" s="540" t="s">
        <v>20</v>
      </c>
      <c r="J559" s="556">
        <v>0</v>
      </c>
      <c r="K559" s="554">
        <f t="shared" si="192"/>
        <v>0</v>
      </c>
      <c r="L559" s="120"/>
      <c r="M559" s="558"/>
    </row>
    <row r="560" spans="1:13" s="187" customFormat="1" ht="16.5" thickBot="1" x14ac:dyDescent="0.25">
      <c r="A560" s="111" t="str">
        <f>IF(F560&lt;&gt;"",1+MAX($A$6:A559),"")</f>
        <v/>
      </c>
      <c r="B560" s="533"/>
      <c r="C560" s="534"/>
      <c r="D560" s="122"/>
      <c r="E560" s="559"/>
      <c r="F560" s="560"/>
      <c r="G560" s="436"/>
      <c r="H560" s="539"/>
      <c r="I560" s="540"/>
      <c r="J560" s="553"/>
      <c r="K560" s="554"/>
      <c r="L560" s="120"/>
      <c r="M560" s="558"/>
    </row>
    <row r="561" spans="1:14" s="187" customFormat="1" ht="16.5" thickBot="1" x14ac:dyDescent="0.25">
      <c r="A561" s="111" t="str">
        <f>IF(F561&lt;&gt;"",1+MAX($A$6:A560),"")</f>
        <v/>
      </c>
      <c r="B561" s="533"/>
      <c r="C561" s="542"/>
      <c r="D561" s="543"/>
      <c r="E561" s="561" t="s">
        <v>1281</v>
      </c>
      <c r="F561" s="537"/>
      <c r="G561" s="546"/>
      <c r="H561" s="547"/>
      <c r="I561" s="548"/>
      <c r="J561" s="226"/>
      <c r="K561" s="549"/>
      <c r="L561" s="120"/>
    </row>
    <row r="562" spans="1:14" s="187" customFormat="1" x14ac:dyDescent="0.2">
      <c r="A562" s="111">
        <f>IF(F562&lt;&gt;"",1+MAX($A$6:A561),"")</f>
        <v>436</v>
      </c>
      <c r="B562" s="533" t="s">
        <v>1274</v>
      </c>
      <c r="C562" s="534" t="s">
        <v>1275</v>
      </c>
      <c r="D562" s="566">
        <f>H562/27*0.67</f>
        <v>3.5758148148148154</v>
      </c>
      <c r="E562" s="555" t="s">
        <v>1282</v>
      </c>
      <c r="F562" s="552">
        <v>131</v>
      </c>
      <c r="G562" s="436">
        <v>0.1</v>
      </c>
      <c r="H562" s="539">
        <f t="shared" ref="H562:H569" si="194">F562*(1+G562)</f>
        <v>144.10000000000002</v>
      </c>
      <c r="I562" s="540" t="s">
        <v>18</v>
      </c>
      <c r="J562" s="556">
        <v>0</v>
      </c>
      <c r="K562" s="554">
        <f t="shared" ref="K562:K569" si="195">J562*H562</f>
        <v>0</v>
      </c>
      <c r="L562" s="120"/>
      <c r="M562" s="558"/>
    </row>
    <row r="563" spans="1:14" s="187" customFormat="1" x14ac:dyDescent="0.2">
      <c r="A563" s="111">
        <f>IF(F563&lt;&gt;"",1+MAX($A$6:A562),"")</f>
        <v>437</v>
      </c>
      <c r="B563" s="533" t="s">
        <v>1274</v>
      </c>
      <c r="C563" s="534" t="s">
        <v>1275</v>
      </c>
      <c r="D563" s="122"/>
      <c r="E563" s="555" t="s">
        <v>1283</v>
      </c>
      <c r="F563" s="552">
        <v>84</v>
      </c>
      <c r="G563" s="436">
        <v>0.1</v>
      </c>
      <c r="H563" s="539">
        <f t="shared" si="194"/>
        <v>92.4</v>
      </c>
      <c r="I563" s="540" t="s">
        <v>15</v>
      </c>
      <c r="J563" s="553">
        <f>$J$320</f>
        <v>0</v>
      </c>
      <c r="K563" s="554">
        <f t="shared" si="195"/>
        <v>0</v>
      </c>
      <c r="L563" s="120"/>
      <c r="M563" s="558"/>
    </row>
    <row r="564" spans="1:14" s="187" customFormat="1" x14ac:dyDescent="0.2">
      <c r="A564" s="111">
        <f>IF(F564&lt;&gt;"",1+MAX($A$6:A563),"")</f>
        <v>438</v>
      </c>
      <c r="B564" s="533" t="s">
        <v>1274</v>
      </c>
      <c r="C564" s="534" t="s">
        <v>1275</v>
      </c>
      <c r="D564" s="122"/>
      <c r="E564" s="555" t="s">
        <v>1284</v>
      </c>
      <c r="F564" s="552">
        <f>1.043*1.2*F562</f>
        <v>163.95959999999997</v>
      </c>
      <c r="G564" s="436">
        <v>0.1</v>
      </c>
      <c r="H564" s="539">
        <f t="shared" si="194"/>
        <v>180.35555999999997</v>
      </c>
      <c r="I564" s="540" t="s">
        <v>427</v>
      </c>
      <c r="J564" s="553">
        <f t="shared" ref="J564:J567" si="196">$J$15</f>
        <v>0</v>
      </c>
      <c r="K564" s="554">
        <f t="shared" si="195"/>
        <v>0</v>
      </c>
      <c r="L564" s="120"/>
      <c r="M564" s="558"/>
    </row>
    <row r="565" spans="1:14" s="187" customFormat="1" x14ac:dyDescent="0.2">
      <c r="A565" s="111">
        <f>IF(F565&lt;&gt;"",1+MAX($A$6:A564),"")</f>
        <v>439</v>
      </c>
      <c r="B565" s="533" t="s">
        <v>1274</v>
      </c>
      <c r="C565" s="534" t="s">
        <v>1275</v>
      </c>
      <c r="D565" s="122"/>
      <c r="E565" s="555" t="s">
        <v>1285</v>
      </c>
      <c r="F565" s="552">
        <f>F564/0.67</f>
        <v>244.71582089552231</v>
      </c>
      <c r="G565" s="436">
        <v>0.1</v>
      </c>
      <c r="H565" s="539">
        <f t="shared" si="194"/>
        <v>269.18740298507458</v>
      </c>
      <c r="I565" s="540" t="s">
        <v>427</v>
      </c>
      <c r="J565" s="553">
        <f t="shared" si="196"/>
        <v>0</v>
      </c>
      <c r="K565" s="554">
        <f t="shared" si="195"/>
        <v>0</v>
      </c>
      <c r="L565" s="120"/>
      <c r="M565" s="558"/>
    </row>
    <row r="566" spans="1:14" s="187" customFormat="1" x14ac:dyDescent="0.2">
      <c r="A566" s="111">
        <f>IF(F566&lt;&gt;"",1+MAX($A$6:A565),"")</f>
        <v>440</v>
      </c>
      <c r="B566" s="533" t="s">
        <v>1274</v>
      </c>
      <c r="C566" s="534" t="s">
        <v>1275</v>
      </c>
      <c r="D566" s="122"/>
      <c r="E566" s="555" t="s">
        <v>1286</v>
      </c>
      <c r="F566" s="552">
        <f>3*9*1.043*1.2</f>
        <v>33.793199999999999</v>
      </c>
      <c r="G566" s="436">
        <v>0.1</v>
      </c>
      <c r="H566" s="539">
        <f t="shared" si="194"/>
        <v>37.172519999999999</v>
      </c>
      <c r="I566" s="540" t="s">
        <v>427</v>
      </c>
      <c r="J566" s="553">
        <f t="shared" si="196"/>
        <v>0</v>
      </c>
      <c r="K566" s="554">
        <f t="shared" si="195"/>
        <v>0</v>
      </c>
      <c r="L566" s="120"/>
      <c r="M566" s="558"/>
    </row>
    <row r="567" spans="1:14" s="187" customFormat="1" x14ac:dyDescent="0.2">
      <c r="A567" s="111">
        <f>IF(F567&lt;&gt;"",1+MAX($A$6:A566),"")</f>
        <v>441</v>
      </c>
      <c r="B567" s="533" t="s">
        <v>1274</v>
      </c>
      <c r="C567" s="534" t="s">
        <v>1275</v>
      </c>
      <c r="D567" s="122"/>
      <c r="E567" s="555" t="s">
        <v>1287</v>
      </c>
      <c r="F567" s="552">
        <f>3*9*1.5*1.2</f>
        <v>48.6</v>
      </c>
      <c r="G567" s="436">
        <v>0.1</v>
      </c>
      <c r="H567" s="539">
        <f t="shared" si="194"/>
        <v>53.460000000000008</v>
      </c>
      <c r="I567" s="540" t="s">
        <v>427</v>
      </c>
      <c r="J567" s="553">
        <f t="shared" si="196"/>
        <v>0</v>
      </c>
      <c r="K567" s="554">
        <f t="shared" si="195"/>
        <v>0</v>
      </c>
      <c r="L567" s="120"/>
      <c r="M567" s="558"/>
    </row>
    <row r="568" spans="1:14" s="187" customFormat="1" x14ac:dyDescent="0.2">
      <c r="A568" s="111">
        <f>IF(F568&lt;&gt;"",1+MAX($A$6:A567),"")</f>
        <v>442</v>
      </c>
      <c r="B568" s="533" t="s">
        <v>1274</v>
      </c>
      <c r="C568" s="534" t="s">
        <v>1275</v>
      </c>
      <c r="D568" s="122"/>
      <c r="E568" s="555" t="s">
        <v>1180</v>
      </c>
      <c r="F568" s="552">
        <v>131</v>
      </c>
      <c r="G568" s="436">
        <v>0.1</v>
      </c>
      <c r="H568" s="539">
        <f t="shared" si="194"/>
        <v>144.10000000000002</v>
      </c>
      <c r="I568" s="540" t="s">
        <v>18</v>
      </c>
      <c r="J568" s="553">
        <f>$J$348</f>
        <v>0</v>
      </c>
      <c r="K568" s="554">
        <f t="shared" si="195"/>
        <v>0</v>
      </c>
      <c r="L568" s="120"/>
      <c r="M568" s="558"/>
    </row>
    <row r="569" spans="1:14" s="187" customFormat="1" x14ac:dyDescent="0.2">
      <c r="A569" s="111">
        <f>IF(F569&lt;&gt;"",1+MAX($A$6:A568),"")</f>
        <v>443</v>
      </c>
      <c r="B569" s="533" t="s">
        <v>1274</v>
      </c>
      <c r="C569" s="534" t="s">
        <v>1275</v>
      </c>
      <c r="D569" s="122"/>
      <c r="E569" s="555" t="s">
        <v>1280</v>
      </c>
      <c r="F569" s="552">
        <f>1.3*62/1.33+1</f>
        <v>61.601503759398497</v>
      </c>
      <c r="G569" s="436">
        <v>0</v>
      </c>
      <c r="H569" s="539">
        <f t="shared" si="194"/>
        <v>61.601503759398497</v>
      </c>
      <c r="I569" s="540" t="s">
        <v>20</v>
      </c>
      <c r="J569" s="570">
        <f>J$559</f>
        <v>0</v>
      </c>
      <c r="K569" s="554">
        <f t="shared" si="195"/>
        <v>0</v>
      </c>
      <c r="L569" s="120"/>
      <c r="M569" s="558"/>
    </row>
    <row r="570" spans="1:14" s="187" customFormat="1" ht="16.5" thickBot="1" x14ac:dyDescent="0.25">
      <c r="A570" s="111" t="str">
        <f>IF(F570&lt;&gt;"",1+MAX($A$6:A569),"")</f>
        <v/>
      </c>
      <c r="B570" s="533"/>
      <c r="C570" s="534"/>
      <c r="D570" s="571"/>
      <c r="E570" s="572"/>
      <c r="F570" s="573"/>
      <c r="G570" s="574"/>
      <c r="H570" s="573"/>
      <c r="I570" s="575"/>
      <c r="J570" s="576"/>
      <c r="K570" s="577"/>
      <c r="L570" s="578"/>
    </row>
    <row r="571" spans="1:14" s="187" customFormat="1" ht="16.5" thickBot="1" x14ac:dyDescent="0.25">
      <c r="A571" s="111" t="str">
        <f>IF(F571&lt;&gt;"",1+MAX($A$6:A570),"")</f>
        <v/>
      </c>
      <c r="B571" s="122"/>
      <c r="C571" s="122"/>
      <c r="D571" s="579"/>
      <c r="E571" s="580" t="s">
        <v>1288</v>
      </c>
      <c r="F571" s="581"/>
      <c r="G571" s="582"/>
      <c r="H571" s="539"/>
      <c r="I571" s="540"/>
      <c r="J571" s="583"/>
      <c r="K571" s="69"/>
      <c r="L571" s="49">
        <f>SUM(K7:K570)</f>
        <v>0</v>
      </c>
      <c r="M571" s="558"/>
    </row>
    <row r="572" spans="1:14" s="187" customFormat="1" ht="18.75" x14ac:dyDescent="0.2">
      <c r="A572" s="111" t="str">
        <f>IF(F572&lt;&gt;"",1+MAX($A$6:A571),"")</f>
        <v/>
      </c>
      <c r="B572" s="122"/>
      <c r="C572" s="122"/>
      <c r="D572" s="579"/>
      <c r="E572" s="584"/>
      <c r="F572" s="581"/>
      <c r="G572" s="582"/>
      <c r="H572" s="539"/>
      <c r="I572" s="540"/>
      <c r="J572" s="583"/>
      <c r="K572" s="65"/>
      <c r="L572" s="585"/>
    </row>
    <row r="573" spans="1:14" ht="16.5" thickBot="1" x14ac:dyDescent="0.25">
      <c r="A573" s="586" t="str">
        <f>IF(F573&lt;&gt;"",1+MAX($A$6:A572),"")</f>
        <v/>
      </c>
      <c r="B573" s="587"/>
      <c r="C573" s="587"/>
      <c r="D573" s="587"/>
      <c r="E573" s="588"/>
      <c r="F573" s="589"/>
      <c r="G573" s="590"/>
      <c r="H573" s="590"/>
      <c r="I573" s="591"/>
      <c r="J573" s="592"/>
      <c r="K573" s="593"/>
      <c r="L573" s="594"/>
    </row>
    <row r="574" spans="1:14" x14ac:dyDescent="0.2">
      <c r="A574" s="596" t="s">
        <v>14</v>
      </c>
      <c r="B574" s="597"/>
      <c r="C574" s="597"/>
      <c r="D574" s="597"/>
      <c r="E574" s="598" t="s">
        <v>511</v>
      </c>
      <c r="F574" s="599"/>
      <c r="G574" s="600"/>
      <c r="H574" s="600"/>
      <c r="I574" s="601"/>
      <c r="J574" s="602"/>
      <c r="K574" s="603">
        <f>(SUM(K7:K573))</f>
        <v>0</v>
      </c>
      <c r="L574" s="604">
        <f>(SUM(L7:L573))</f>
        <v>0</v>
      </c>
      <c r="N574" s="605"/>
    </row>
    <row r="575" spans="1:14" ht="16.5" thickBot="1" x14ac:dyDescent="0.25">
      <c r="A575" s="606" t="s">
        <v>1021</v>
      </c>
      <c r="B575" s="607"/>
      <c r="C575" s="607"/>
      <c r="D575" s="607"/>
      <c r="E575" s="608"/>
      <c r="F575" s="609"/>
      <c r="G575" s="610"/>
      <c r="H575" s="96"/>
      <c r="I575" s="607"/>
      <c r="J575" s="611"/>
      <c r="K575" s="612">
        <f>SUM(K574:K574)</f>
        <v>0</v>
      </c>
      <c r="L575" s="613"/>
    </row>
    <row r="576" spans="1:14" ht="16.5" thickBot="1" x14ac:dyDescent="0.25">
      <c r="A576" s="614" t="s">
        <v>1289</v>
      </c>
      <c r="B576" s="615"/>
      <c r="C576" s="615"/>
      <c r="D576" s="615"/>
      <c r="E576" s="616"/>
      <c r="F576" s="617"/>
      <c r="G576" s="618"/>
      <c r="H576" s="618"/>
      <c r="I576" s="615"/>
      <c r="J576" s="619"/>
      <c r="K576" s="620"/>
      <c r="L576" s="621"/>
    </row>
  </sheetData>
  <pageMargins left="0.25" right="0.25" top="0.75" bottom="0.75" header="0.3" footer="0.3"/>
  <pageSetup paperSize="9" scale="80" fitToHeight="0" orientation="landscape"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91"/>
  <sheetViews>
    <sheetView view="pageBreakPreview" zoomScale="80" zoomScaleNormal="90" zoomScaleSheetLayoutView="80" workbookViewId="0">
      <pane ySplit="6" topLeftCell="A7" activePane="bottomLeft" state="frozen"/>
      <selection pane="bottomLeft" activeCell="A7" sqref="A7"/>
    </sheetView>
  </sheetViews>
  <sheetFormatPr defaultColWidth="9.6640625" defaultRowHeight="15.75" x14ac:dyDescent="0.2"/>
  <cols>
    <col min="1" max="1" width="15.21875" style="320" customWidth="1"/>
    <col min="2" max="2" width="53.44140625" style="321" customWidth="1"/>
    <col min="3" max="3" width="11.44140625" style="323" bestFit="1" customWidth="1"/>
    <col min="4" max="4" width="4.6640625" style="326" bestFit="1" customWidth="1"/>
    <col min="5" max="5" width="11" style="326" customWidth="1"/>
    <col min="6" max="6" width="12.21875" style="327" customWidth="1"/>
    <col min="7" max="7" width="15.44140625" style="321" customWidth="1"/>
    <col min="8" max="8" width="16.88671875" style="321" customWidth="1"/>
    <col min="9" max="9" width="15.77734375" style="325" customWidth="1"/>
    <col min="10" max="10" width="50.5546875" style="264" customWidth="1"/>
    <col min="11" max="11" width="11.109375" style="264" bestFit="1" customWidth="1"/>
    <col min="12" max="12" width="13.44140625" style="264" customWidth="1"/>
    <col min="13" max="13" width="11.109375" style="264" bestFit="1" customWidth="1"/>
    <col min="14" max="16384" width="9.6640625" style="264"/>
  </cols>
  <sheetData>
    <row r="1" spans="1:20" ht="18.75" x14ac:dyDescent="0.2">
      <c r="A1" s="680" t="s">
        <v>7</v>
      </c>
      <c r="B1" s="681"/>
      <c r="C1" s="682"/>
      <c r="D1" s="683"/>
      <c r="E1" s="683"/>
      <c r="F1" s="684"/>
      <c r="G1" s="684"/>
      <c r="H1" s="684"/>
      <c r="I1" s="684"/>
      <c r="J1" s="685" t="s">
        <v>261</v>
      </c>
    </row>
    <row r="2" spans="1:20" ht="21" x14ac:dyDescent="0.2">
      <c r="A2" s="265" t="s">
        <v>8</v>
      </c>
      <c r="B2" s="266"/>
      <c r="C2" s="267"/>
      <c r="D2" s="268"/>
      <c r="E2" s="269"/>
      <c r="F2" s="270"/>
      <c r="G2" s="270"/>
      <c r="H2" s="270"/>
      <c r="I2" s="270"/>
      <c r="J2" s="271"/>
    </row>
    <row r="3" spans="1:20" ht="21" x14ac:dyDescent="0.2">
      <c r="A3" s="272" t="s">
        <v>9</v>
      </c>
      <c r="B3" s="686">
        <v>44977</v>
      </c>
      <c r="C3" s="267"/>
      <c r="D3" s="274"/>
      <c r="E3" s="269"/>
      <c r="F3" s="270"/>
      <c r="G3" s="270"/>
      <c r="H3" s="276"/>
      <c r="I3" s="276"/>
      <c r="J3" s="277"/>
    </row>
    <row r="4" spans="1:20" ht="21" x14ac:dyDescent="0.2">
      <c r="A4" s="272" t="s">
        <v>10</v>
      </c>
      <c r="B4" s="686">
        <v>44869</v>
      </c>
      <c r="C4" s="267"/>
      <c r="D4" s="274"/>
      <c r="E4" s="275"/>
      <c r="F4" s="276"/>
      <c r="G4" s="276"/>
      <c r="H4" s="278"/>
      <c r="I4" s="278"/>
      <c r="J4" s="279"/>
    </row>
    <row r="5" spans="1:20" ht="21.75" thickBot="1" x14ac:dyDescent="0.25">
      <c r="A5" s="667" t="s">
        <v>262</v>
      </c>
      <c r="B5" s="668">
        <f>I$390</f>
        <v>0</v>
      </c>
      <c r="C5" s="267"/>
      <c r="D5" s="274"/>
      <c r="E5" s="669"/>
      <c r="F5" s="276"/>
      <c r="G5" s="276"/>
      <c r="H5" s="276"/>
      <c r="I5" s="276"/>
      <c r="J5" s="277"/>
    </row>
    <row r="6" spans="1:20" s="280" customFormat="1" ht="32.25" thickBot="1" x14ac:dyDescent="0.25">
      <c r="A6" s="675" t="s">
        <v>11</v>
      </c>
      <c r="B6" s="676" t="s">
        <v>1</v>
      </c>
      <c r="C6" s="676" t="s">
        <v>263</v>
      </c>
      <c r="D6" s="677" t="s">
        <v>0</v>
      </c>
      <c r="E6" s="676" t="s">
        <v>264</v>
      </c>
      <c r="F6" s="676" t="s">
        <v>265</v>
      </c>
      <c r="G6" s="676" t="s">
        <v>266</v>
      </c>
      <c r="H6" s="676" t="s">
        <v>267</v>
      </c>
      <c r="I6" s="678" t="s">
        <v>6</v>
      </c>
      <c r="J6" s="679" t="s">
        <v>268</v>
      </c>
      <c r="K6" s="264"/>
      <c r="L6" s="264"/>
      <c r="M6" s="264"/>
      <c r="N6" s="264"/>
      <c r="O6" s="264"/>
      <c r="P6" s="264"/>
      <c r="Q6" s="264"/>
      <c r="R6" s="264"/>
      <c r="S6" s="264"/>
      <c r="T6" s="264"/>
    </row>
    <row r="7" spans="1:20" ht="21" x14ac:dyDescent="0.2">
      <c r="A7" s="670" t="str">
        <f>IF(C7&lt;&gt;"",1+MAX($A$6:A6),"")</f>
        <v/>
      </c>
      <c r="B7" s="671"/>
      <c r="C7" s="672"/>
      <c r="D7" s="673"/>
      <c r="E7" s="304"/>
      <c r="F7" s="304"/>
      <c r="G7" s="304"/>
      <c r="H7" s="304"/>
      <c r="I7" s="305"/>
      <c r="J7" s="674"/>
    </row>
    <row r="8" spans="1:20" ht="21" x14ac:dyDescent="0.2">
      <c r="A8" s="281" t="str">
        <f>IF(C8&lt;&gt;"",1+MAX($A$6:A7),"")</f>
        <v/>
      </c>
      <c r="B8" s="282" t="s">
        <v>269</v>
      </c>
      <c r="C8" s="283"/>
      <c r="D8" s="284"/>
      <c r="E8" s="285"/>
      <c r="F8" s="285"/>
      <c r="G8" s="285"/>
      <c r="H8" s="285"/>
      <c r="I8" s="286"/>
      <c r="J8" s="287"/>
    </row>
    <row r="9" spans="1:20" ht="21" x14ac:dyDescent="0.2">
      <c r="A9" s="281" t="str">
        <f>IF(C9&lt;&gt;"",1+MAX($A$6:A8),"")</f>
        <v/>
      </c>
      <c r="B9" s="288"/>
      <c r="C9" s="283"/>
      <c r="D9" s="284"/>
      <c r="E9" s="285"/>
      <c r="F9" s="285"/>
      <c r="G9" s="285"/>
      <c r="H9" s="285"/>
      <c r="I9" s="289"/>
      <c r="J9" s="287"/>
    </row>
    <row r="10" spans="1:20" ht="22.5" customHeight="1" x14ac:dyDescent="0.2">
      <c r="A10" s="281">
        <f>IF(C10&lt;&gt;"",1+MAX($A$6:A9),"")</f>
        <v>1</v>
      </c>
      <c r="B10" s="288" t="s">
        <v>270</v>
      </c>
      <c r="C10" s="283">
        <v>35</v>
      </c>
      <c r="D10" s="290" t="s">
        <v>20</v>
      </c>
      <c r="E10" s="291">
        <v>0</v>
      </c>
      <c r="F10" s="291">
        <v>0</v>
      </c>
      <c r="G10" s="292">
        <f t="shared" ref="G10:G13" si="0">E10*C10</f>
        <v>0</v>
      </c>
      <c r="H10" s="292">
        <f t="shared" ref="H10:H13" si="1">F10*C10</f>
        <v>0</v>
      </c>
      <c r="I10" s="289">
        <f t="shared" ref="I10:I13" si="2">H10+G10</f>
        <v>0</v>
      </c>
      <c r="J10" s="293" t="s">
        <v>271</v>
      </c>
    </row>
    <row r="11" spans="1:20" ht="22.5" customHeight="1" x14ac:dyDescent="0.2">
      <c r="A11" s="281">
        <f>IF(C11&lt;&gt;"",1+MAX($A$6:A10),"")</f>
        <v>2</v>
      </c>
      <c r="B11" s="288" t="s">
        <v>272</v>
      </c>
      <c r="C11" s="283">
        <v>842</v>
      </c>
      <c r="D11" s="284" t="s">
        <v>20</v>
      </c>
      <c r="E11" s="291">
        <v>0</v>
      </c>
      <c r="F11" s="291">
        <v>0</v>
      </c>
      <c r="G11" s="292">
        <f t="shared" si="0"/>
        <v>0</v>
      </c>
      <c r="H11" s="292">
        <f t="shared" si="1"/>
        <v>0</v>
      </c>
      <c r="I11" s="289">
        <f t="shared" si="2"/>
        <v>0</v>
      </c>
      <c r="J11" s="293" t="s">
        <v>273</v>
      </c>
    </row>
    <row r="12" spans="1:20" ht="22.5" customHeight="1" x14ac:dyDescent="0.2">
      <c r="A12" s="281">
        <f>IF(C12&lt;&gt;"",1+MAX($A$6:A11),"")</f>
        <v>3</v>
      </c>
      <c r="B12" s="294" t="s">
        <v>274</v>
      </c>
      <c r="C12" s="283">
        <v>140</v>
      </c>
      <c r="D12" s="284" t="s">
        <v>20</v>
      </c>
      <c r="E12" s="291">
        <v>0</v>
      </c>
      <c r="F12" s="291">
        <v>0</v>
      </c>
      <c r="G12" s="292">
        <f t="shared" si="0"/>
        <v>0</v>
      </c>
      <c r="H12" s="292">
        <f t="shared" si="1"/>
        <v>0</v>
      </c>
      <c r="I12" s="289">
        <f t="shared" si="2"/>
        <v>0</v>
      </c>
      <c r="J12" s="293" t="s">
        <v>275</v>
      </c>
    </row>
    <row r="13" spans="1:20" ht="21" x14ac:dyDescent="0.2">
      <c r="A13" s="281">
        <f>IF(C13&lt;&gt;"",1+MAX($A$6:A12),"")</f>
        <v>4</v>
      </c>
      <c r="B13" s="288" t="s">
        <v>276</v>
      </c>
      <c r="C13" s="283">
        <v>201</v>
      </c>
      <c r="D13" s="284" t="s">
        <v>20</v>
      </c>
      <c r="E13" s="291">
        <v>0</v>
      </c>
      <c r="F13" s="291">
        <v>0</v>
      </c>
      <c r="G13" s="292">
        <f t="shared" si="0"/>
        <v>0</v>
      </c>
      <c r="H13" s="292">
        <f t="shared" si="1"/>
        <v>0</v>
      </c>
      <c r="I13" s="289">
        <f t="shared" si="2"/>
        <v>0</v>
      </c>
      <c r="J13" s="293" t="s">
        <v>277</v>
      </c>
    </row>
    <row r="14" spans="1:20" ht="21" x14ac:dyDescent="0.2">
      <c r="A14" s="281" t="str">
        <f>IF(C14&lt;&gt;"",1+MAX($A$6:A13),"")</f>
        <v/>
      </c>
      <c r="B14" s="295"/>
      <c r="C14" s="296"/>
      <c r="D14" s="284"/>
      <c r="E14" s="285"/>
      <c r="F14" s="285"/>
      <c r="G14" s="285"/>
      <c r="H14" s="285"/>
      <c r="I14" s="289"/>
      <c r="J14" s="293"/>
    </row>
    <row r="15" spans="1:20" ht="21" x14ac:dyDescent="0.2">
      <c r="A15" s="281" t="str">
        <f>IF(C15&lt;&gt;"",1+MAX($A$6:A14),"")</f>
        <v/>
      </c>
      <c r="B15" s="297" t="s">
        <v>278</v>
      </c>
      <c r="C15" s="296"/>
      <c r="D15" s="284"/>
      <c r="E15" s="285"/>
      <c r="F15" s="285"/>
      <c r="G15" s="285"/>
      <c r="H15" s="285"/>
      <c r="I15" s="289"/>
      <c r="J15" s="293"/>
    </row>
    <row r="16" spans="1:20" ht="21" x14ac:dyDescent="0.2">
      <c r="A16" s="281" t="str">
        <f>IF(C16&lt;&gt;"",1+MAX($A$6:A15),"")</f>
        <v/>
      </c>
      <c r="B16" s="288"/>
      <c r="C16" s="296"/>
      <c r="D16" s="284"/>
      <c r="E16" s="285"/>
      <c r="F16" s="285"/>
      <c r="G16" s="285"/>
      <c r="H16" s="285"/>
      <c r="I16" s="289"/>
      <c r="J16" s="293"/>
    </row>
    <row r="17" spans="1:14" ht="21" x14ac:dyDescent="0.2">
      <c r="A17" s="281">
        <f>IF(C17&lt;&gt;"",1+MAX($A$6:A16),"")</f>
        <v>5</v>
      </c>
      <c r="B17" s="288" t="s">
        <v>270</v>
      </c>
      <c r="C17" s="283">
        <v>24</v>
      </c>
      <c r="D17" s="290" t="s">
        <v>20</v>
      </c>
      <c r="E17" s="285">
        <f t="shared" ref="E17:F17" si="3">E$10</f>
        <v>0</v>
      </c>
      <c r="F17" s="285">
        <f t="shared" si="3"/>
        <v>0</v>
      </c>
      <c r="G17" s="292">
        <f t="shared" ref="G17:G23" si="4">E17*C17</f>
        <v>0</v>
      </c>
      <c r="H17" s="292">
        <f t="shared" ref="H17:H23" si="5">F17*C17</f>
        <v>0</v>
      </c>
      <c r="I17" s="289">
        <f t="shared" ref="I17:I23" si="6">H17+G17</f>
        <v>0</v>
      </c>
      <c r="J17" s="293" t="s">
        <v>271</v>
      </c>
    </row>
    <row r="18" spans="1:14" ht="21" x14ac:dyDescent="0.2">
      <c r="A18" s="281">
        <f>IF(C18&lt;&gt;"",1+MAX($A$6:A17),"")</f>
        <v>6</v>
      </c>
      <c r="B18" s="288" t="s">
        <v>279</v>
      </c>
      <c r="C18" s="283">
        <v>3</v>
      </c>
      <c r="D18" s="290" t="s">
        <v>20</v>
      </c>
      <c r="E18" s="291">
        <v>0</v>
      </c>
      <c r="F18" s="291">
        <v>0</v>
      </c>
      <c r="G18" s="292">
        <f t="shared" si="4"/>
        <v>0</v>
      </c>
      <c r="H18" s="292">
        <f t="shared" si="5"/>
        <v>0</v>
      </c>
      <c r="I18" s="289">
        <f t="shared" si="6"/>
        <v>0</v>
      </c>
      <c r="J18" s="293" t="s">
        <v>271</v>
      </c>
    </row>
    <row r="19" spans="1:14" ht="21" x14ac:dyDescent="0.2">
      <c r="A19" s="281">
        <f>IF(C19&lt;&gt;"",1+MAX($A$6:A18),"")</f>
        <v>7</v>
      </c>
      <c r="B19" s="288" t="s">
        <v>272</v>
      </c>
      <c r="C19" s="283">
        <v>548</v>
      </c>
      <c r="D19" s="284" t="s">
        <v>20</v>
      </c>
      <c r="E19" s="285">
        <f t="shared" ref="E19:F19" si="7">E$11</f>
        <v>0</v>
      </c>
      <c r="F19" s="285">
        <f t="shared" si="7"/>
        <v>0</v>
      </c>
      <c r="G19" s="292">
        <f t="shared" si="4"/>
        <v>0</v>
      </c>
      <c r="H19" s="292">
        <f t="shared" si="5"/>
        <v>0</v>
      </c>
      <c r="I19" s="289">
        <f t="shared" si="6"/>
        <v>0</v>
      </c>
      <c r="J19" s="293" t="s">
        <v>273</v>
      </c>
    </row>
    <row r="20" spans="1:14" ht="21" x14ac:dyDescent="0.2">
      <c r="A20" s="281">
        <f>IF(C20&lt;&gt;"",1+MAX($A$6:A19),"")</f>
        <v>8</v>
      </c>
      <c r="B20" s="288" t="s">
        <v>280</v>
      </c>
      <c r="C20" s="283">
        <v>30</v>
      </c>
      <c r="D20" s="284" t="s">
        <v>20</v>
      </c>
      <c r="E20" s="291">
        <v>0</v>
      </c>
      <c r="F20" s="291">
        <v>0</v>
      </c>
      <c r="G20" s="292">
        <f t="shared" si="4"/>
        <v>0</v>
      </c>
      <c r="H20" s="292">
        <f t="shared" si="5"/>
        <v>0</v>
      </c>
      <c r="I20" s="289">
        <f t="shared" si="6"/>
        <v>0</v>
      </c>
      <c r="J20" s="293" t="s">
        <v>273</v>
      </c>
    </row>
    <row r="21" spans="1:14" ht="21" x14ac:dyDescent="0.2">
      <c r="A21" s="281">
        <f>IF(C21&lt;&gt;"",1+MAX($A$6:A20),"")</f>
        <v>9</v>
      </c>
      <c r="B21" s="288" t="s">
        <v>274</v>
      </c>
      <c r="C21" s="283">
        <v>96</v>
      </c>
      <c r="D21" s="284" t="s">
        <v>20</v>
      </c>
      <c r="E21" s="285">
        <f t="shared" ref="E21:F21" si="8">E$12</f>
        <v>0</v>
      </c>
      <c r="F21" s="285">
        <f t="shared" si="8"/>
        <v>0</v>
      </c>
      <c r="G21" s="292">
        <f t="shared" si="4"/>
        <v>0</v>
      </c>
      <c r="H21" s="292">
        <f t="shared" si="5"/>
        <v>0</v>
      </c>
      <c r="I21" s="289">
        <f t="shared" si="6"/>
        <v>0</v>
      </c>
      <c r="J21" s="293" t="s">
        <v>275</v>
      </c>
      <c r="N21" s="298"/>
    </row>
    <row r="22" spans="1:14" ht="21" x14ac:dyDescent="0.2">
      <c r="A22" s="281">
        <f>IF(C22&lt;&gt;"",1+MAX($A$6:A21),"")</f>
        <v>10</v>
      </c>
      <c r="B22" s="288" t="s">
        <v>281</v>
      </c>
      <c r="C22" s="283">
        <v>12</v>
      </c>
      <c r="D22" s="284" t="s">
        <v>20</v>
      </c>
      <c r="E22" s="291">
        <v>0</v>
      </c>
      <c r="F22" s="291">
        <v>0</v>
      </c>
      <c r="G22" s="292">
        <f t="shared" si="4"/>
        <v>0</v>
      </c>
      <c r="H22" s="292">
        <f t="shared" si="5"/>
        <v>0</v>
      </c>
      <c r="I22" s="289">
        <f t="shared" si="6"/>
        <v>0</v>
      </c>
      <c r="J22" s="293" t="s">
        <v>275</v>
      </c>
      <c r="N22" s="298"/>
    </row>
    <row r="23" spans="1:14" ht="21" x14ac:dyDescent="0.2">
      <c r="A23" s="281">
        <f>IF(C23&lt;&gt;"",1+MAX($A$6:A22),"")</f>
        <v>11</v>
      </c>
      <c r="B23" s="288" t="s">
        <v>276</v>
      </c>
      <c r="C23" s="283">
        <v>131</v>
      </c>
      <c r="D23" s="284" t="s">
        <v>20</v>
      </c>
      <c r="E23" s="285">
        <f t="shared" ref="E23:F23" si="9">E$13</f>
        <v>0</v>
      </c>
      <c r="F23" s="285">
        <f t="shared" si="9"/>
        <v>0</v>
      </c>
      <c r="G23" s="292">
        <f t="shared" si="4"/>
        <v>0</v>
      </c>
      <c r="H23" s="292">
        <f t="shared" si="5"/>
        <v>0</v>
      </c>
      <c r="I23" s="289">
        <f t="shared" si="6"/>
        <v>0</v>
      </c>
      <c r="J23" s="293" t="s">
        <v>282</v>
      </c>
      <c r="N23" s="298"/>
    </row>
    <row r="24" spans="1:14" ht="21" x14ac:dyDescent="0.2">
      <c r="A24" s="281" t="str">
        <f>IF(C24&lt;&gt;"",1+MAX($A$6:A23),"")</f>
        <v/>
      </c>
      <c r="B24" s="295"/>
      <c r="C24" s="296"/>
      <c r="D24" s="284"/>
      <c r="E24" s="285"/>
      <c r="F24" s="285"/>
      <c r="G24" s="285"/>
      <c r="H24" s="285"/>
      <c r="I24" s="289"/>
      <c r="J24" s="293"/>
    </row>
    <row r="25" spans="1:14" ht="21" x14ac:dyDescent="0.2">
      <c r="A25" s="281" t="str">
        <f>IF(C25&lt;&gt;"",1+MAX($A$6:A24),"")</f>
        <v/>
      </c>
      <c r="B25" s="299" t="s">
        <v>283</v>
      </c>
      <c r="C25" s="296"/>
      <c r="D25" s="284"/>
      <c r="E25" s="285"/>
      <c r="F25" s="285"/>
      <c r="G25" s="285"/>
      <c r="H25" s="285"/>
      <c r="I25" s="289"/>
      <c r="J25" s="293"/>
    </row>
    <row r="26" spans="1:14" ht="21" x14ac:dyDescent="0.2">
      <c r="A26" s="281" t="str">
        <f>IF(C26&lt;&gt;"",1+MAX($A$6:A25),"")</f>
        <v/>
      </c>
      <c r="B26" s="300"/>
      <c r="C26" s="296"/>
      <c r="D26" s="284"/>
      <c r="E26" s="285"/>
      <c r="F26" s="285"/>
      <c r="G26" s="292"/>
      <c r="H26" s="292"/>
      <c r="I26" s="289"/>
      <c r="J26" s="293"/>
    </row>
    <row r="27" spans="1:14" ht="21" x14ac:dyDescent="0.2">
      <c r="A27" s="281">
        <f>IF(C27&lt;&gt;"",1+MAX($A$6:A26),"")</f>
        <v>12</v>
      </c>
      <c r="B27" s="288" t="s">
        <v>270</v>
      </c>
      <c r="C27" s="283">
        <v>12</v>
      </c>
      <c r="D27" s="284" t="s">
        <v>20</v>
      </c>
      <c r="E27" s="285">
        <f t="shared" ref="E27:F27" si="10">E$10</f>
        <v>0</v>
      </c>
      <c r="F27" s="285">
        <f t="shared" si="10"/>
        <v>0</v>
      </c>
      <c r="G27" s="292">
        <f t="shared" ref="G27:G33" si="11">E27*C27</f>
        <v>0</v>
      </c>
      <c r="H27" s="292">
        <f t="shared" ref="H27:H33" si="12">F27*C27</f>
        <v>0</v>
      </c>
      <c r="I27" s="289">
        <f t="shared" ref="I27:I33" si="13">H27+G27</f>
        <v>0</v>
      </c>
      <c r="J27" s="293" t="s">
        <v>271</v>
      </c>
    </row>
    <row r="28" spans="1:14" ht="21" x14ac:dyDescent="0.2">
      <c r="A28" s="281">
        <f>IF(C28&lt;&gt;"",1+MAX($A$6:A27),"")</f>
        <v>13</v>
      </c>
      <c r="B28" s="288" t="s">
        <v>279</v>
      </c>
      <c r="C28" s="283">
        <v>2</v>
      </c>
      <c r="D28" s="284" t="s">
        <v>20</v>
      </c>
      <c r="E28" s="285">
        <f t="shared" ref="E28:F28" si="14">E$18</f>
        <v>0</v>
      </c>
      <c r="F28" s="285">
        <f t="shared" si="14"/>
        <v>0</v>
      </c>
      <c r="G28" s="292">
        <f t="shared" si="11"/>
        <v>0</v>
      </c>
      <c r="H28" s="292">
        <f t="shared" si="12"/>
        <v>0</v>
      </c>
      <c r="I28" s="289">
        <f t="shared" si="13"/>
        <v>0</v>
      </c>
      <c r="J28" s="293" t="s">
        <v>271</v>
      </c>
    </row>
    <row r="29" spans="1:14" ht="21" x14ac:dyDescent="0.2">
      <c r="A29" s="281">
        <f>IF(C29&lt;&gt;"",1+MAX($A$6:A28),"")</f>
        <v>14</v>
      </c>
      <c r="B29" s="288" t="s">
        <v>272</v>
      </c>
      <c r="C29" s="283">
        <v>347</v>
      </c>
      <c r="D29" s="284" t="s">
        <v>20</v>
      </c>
      <c r="E29" s="285">
        <f t="shared" ref="E29:F29" si="15">E$11</f>
        <v>0</v>
      </c>
      <c r="F29" s="285">
        <f t="shared" si="15"/>
        <v>0</v>
      </c>
      <c r="G29" s="292">
        <f t="shared" si="11"/>
        <v>0</v>
      </c>
      <c r="H29" s="292">
        <f t="shared" si="12"/>
        <v>0</v>
      </c>
      <c r="I29" s="289">
        <f t="shared" si="13"/>
        <v>0</v>
      </c>
      <c r="J29" s="293" t="s">
        <v>273</v>
      </c>
    </row>
    <row r="30" spans="1:14" ht="21" x14ac:dyDescent="0.2">
      <c r="A30" s="281">
        <f>IF(C30&lt;&gt;"",1+MAX($A$6:A29),"")</f>
        <v>15</v>
      </c>
      <c r="B30" s="288" t="s">
        <v>280</v>
      </c>
      <c r="C30" s="283">
        <v>31</v>
      </c>
      <c r="D30" s="284" t="s">
        <v>20</v>
      </c>
      <c r="E30" s="285">
        <f t="shared" ref="E30:F30" si="16">E$20</f>
        <v>0</v>
      </c>
      <c r="F30" s="285">
        <f t="shared" si="16"/>
        <v>0</v>
      </c>
      <c r="G30" s="292">
        <f t="shared" si="11"/>
        <v>0</v>
      </c>
      <c r="H30" s="292">
        <f t="shared" si="12"/>
        <v>0</v>
      </c>
      <c r="I30" s="289">
        <f t="shared" si="13"/>
        <v>0</v>
      </c>
      <c r="J30" s="293" t="s">
        <v>273</v>
      </c>
      <c r="N30" s="298"/>
    </row>
    <row r="31" spans="1:14" ht="21" x14ac:dyDescent="0.2">
      <c r="A31" s="281">
        <f>IF(C31&lt;&gt;"",1+MAX($A$6:A30),"")</f>
        <v>16</v>
      </c>
      <c r="B31" s="288" t="s">
        <v>274</v>
      </c>
      <c r="C31" s="283">
        <v>48</v>
      </c>
      <c r="D31" s="284" t="s">
        <v>20</v>
      </c>
      <c r="E31" s="285">
        <f t="shared" ref="E31:F31" si="17">E$12</f>
        <v>0</v>
      </c>
      <c r="F31" s="285">
        <f t="shared" si="17"/>
        <v>0</v>
      </c>
      <c r="G31" s="292">
        <f t="shared" si="11"/>
        <v>0</v>
      </c>
      <c r="H31" s="292">
        <f t="shared" si="12"/>
        <v>0</v>
      </c>
      <c r="I31" s="289">
        <f t="shared" si="13"/>
        <v>0</v>
      </c>
      <c r="J31" s="293" t="s">
        <v>284</v>
      </c>
      <c r="N31" s="298"/>
    </row>
    <row r="32" spans="1:14" ht="21" x14ac:dyDescent="0.2">
      <c r="A32" s="281">
        <f>IF(C32&lt;&gt;"",1+MAX($A$6:A31),"")</f>
        <v>17</v>
      </c>
      <c r="B32" s="288" t="s">
        <v>281</v>
      </c>
      <c r="C32" s="283">
        <v>8</v>
      </c>
      <c r="D32" s="284" t="s">
        <v>20</v>
      </c>
      <c r="E32" s="285">
        <f t="shared" ref="E32:F32" si="18">E$22</f>
        <v>0</v>
      </c>
      <c r="F32" s="285">
        <f t="shared" si="18"/>
        <v>0</v>
      </c>
      <c r="G32" s="292">
        <f t="shared" si="11"/>
        <v>0</v>
      </c>
      <c r="H32" s="292">
        <f t="shared" si="12"/>
        <v>0</v>
      </c>
      <c r="I32" s="289">
        <f t="shared" si="13"/>
        <v>0</v>
      </c>
      <c r="J32" s="293" t="s">
        <v>284</v>
      </c>
      <c r="N32" s="298"/>
    </row>
    <row r="33" spans="1:14" ht="21" x14ac:dyDescent="0.2">
      <c r="A33" s="281">
        <f>IF(C33&lt;&gt;"",1+MAX($A$6:A32),"")</f>
        <v>18</v>
      </c>
      <c r="B33" s="288" t="s">
        <v>276</v>
      </c>
      <c r="C33" s="283">
        <v>63</v>
      </c>
      <c r="D33" s="284" t="s">
        <v>20</v>
      </c>
      <c r="E33" s="285">
        <f t="shared" ref="E33:F33" si="19">E$13</f>
        <v>0</v>
      </c>
      <c r="F33" s="285">
        <f t="shared" si="19"/>
        <v>0</v>
      </c>
      <c r="G33" s="292">
        <f t="shared" si="11"/>
        <v>0</v>
      </c>
      <c r="H33" s="292">
        <f t="shared" si="12"/>
        <v>0</v>
      </c>
      <c r="I33" s="289">
        <f t="shared" si="13"/>
        <v>0</v>
      </c>
      <c r="J33" s="293" t="s">
        <v>282</v>
      </c>
    </row>
    <row r="34" spans="1:14" ht="21" x14ac:dyDescent="0.2">
      <c r="A34" s="281" t="str">
        <f>IF(C34&lt;&gt;"",1+MAX($A$6:A33),"")</f>
        <v/>
      </c>
      <c r="B34" s="288"/>
      <c r="C34" s="296"/>
      <c r="D34" s="284"/>
      <c r="E34" s="285"/>
      <c r="F34" s="285"/>
      <c r="G34" s="285"/>
      <c r="H34" s="285"/>
      <c r="I34" s="289"/>
      <c r="J34" s="293"/>
    </row>
    <row r="35" spans="1:14" ht="21" x14ac:dyDescent="0.2">
      <c r="A35" s="281" t="str">
        <f>IF(C35&lt;&gt;"",1+MAX($A$6:A34),"")</f>
        <v/>
      </c>
      <c r="B35" s="282" t="s">
        <v>285</v>
      </c>
      <c r="C35" s="296"/>
      <c r="D35" s="284"/>
      <c r="E35" s="285"/>
      <c r="F35" s="285"/>
      <c r="G35" s="292"/>
      <c r="H35" s="292"/>
      <c r="I35" s="289"/>
      <c r="J35" s="293"/>
    </row>
    <row r="36" spans="1:14" ht="21" x14ac:dyDescent="0.2">
      <c r="A36" s="281" t="str">
        <f>IF(C36&lt;&gt;"",1+MAX($A$6:A35),"")</f>
        <v/>
      </c>
      <c r="B36" s="288"/>
      <c r="C36" s="296"/>
      <c r="D36" s="284"/>
      <c r="E36" s="285"/>
      <c r="F36" s="285"/>
      <c r="G36" s="292"/>
      <c r="H36" s="292"/>
      <c r="I36" s="289"/>
      <c r="J36" s="293"/>
    </row>
    <row r="37" spans="1:14" ht="21" x14ac:dyDescent="0.2">
      <c r="A37" s="281">
        <f>IF(C37&lt;&gt;"",1+MAX($A$6:A36),"")</f>
        <v>19</v>
      </c>
      <c r="B37" s="288" t="s">
        <v>286</v>
      </c>
      <c r="C37" s="283">
        <v>61</v>
      </c>
      <c r="D37" s="284" t="s">
        <v>20</v>
      </c>
      <c r="E37" s="291">
        <v>0</v>
      </c>
      <c r="F37" s="291">
        <v>0</v>
      </c>
      <c r="G37" s="292">
        <f>E37*C37</f>
        <v>0</v>
      </c>
      <c r="H37" s="292">
        <f>F37*C37</f>
        <v>0</v>
      </c>
      <c r="I37" s="289">
        <f>H37+G37</f>
        <v>0</v>
      </c>
      <c r="J37" s="293" t="s">
        <v>271</v>
      </c>
    </row>
    <row r="38" spans="1:14" ht="21" x14ac:dyDescent="0.2">
      <c r="A38" s="281">
        <f>IF(C38&lt;&gt;"",1+MAX($A$6:A37),"")</f>
        <v>20</v>
      </c>
      <c r="B38" s="288" t="s">
        <v>270</v>
      </c>
      <c r="C38" s="283">
        <v>8</v>
      </c>
      <c r="D38" s="284" t="s">
        <v>20</v>
      </c>
      <c r="E38" s="285">
        <f t="shared" ref="E38:F38" si="20">E$10</f>
        <v>0</v>
      </c>
      <c r="F38" s="285">
        <f t="shared" si="20"/>
        <v>0</v>
      </c>
      <c r="G38" s="292">
        <f t="shared" ref="G38:G43" si="21">E38*C38</f>
        <v>0</v>
      </c>
      <c r="H38" s="292">
        <f t="shared" ref="H38:H43" si="22">F38*C38</f>
        <v>0</v>
      </c>
      <c r="I38" s="289">
        <f t="shared" ref="I38:I43" si="23">H38+G38</f>
        <v>0</v>
      </c>
      <c r="J38" s="293" t="s">
        <v>271</v>
      </c>
    </row>
    <row r="39" spans="1:14" ht="21" x14ac:dyDescent="0.2">
      <c r="A39" s="281">
        <f>IF(C39&lt;&gt;"",1+MAX($A$6:A38),"")</f>
        <v>21</v>
      </c>
      <c r="B39" s="288" t="s">
        <v>287</v>
      </c>
      <c r="C39" s="283">
        <v>1461</v>
      </c>
      <c r="D39" s="284" t="s">
        <v>20</v>
      </c>
      <c r="E39" s="291">
        <v>0</v>
      </c>
      <c r="F39" s="291">
        <v>0</v>
      </c>
      <c r="G39" s="292">
        <f t="shared" si="21"/>
        <v>0</v>
      </c>
      <c r="H39" s="292">
        <f t="shared" si="22"/>
        <v>0</v>
      </c>
      <c r="I39" s="289">
        <f t="shared" si="23"/>
        <v>0</v>
      </c>
      <c r="J39" s="293" t="s">
        <v>273</v>
      </c>
    </row>
    <row r="40" spans="1:14" ht="21" x14ac:dyDescent="0.2">
      <c r="A40" s="281">
        <f>IF(C40&lt;&gt;"",1+MAX($A$6:A39),"")</f>
        <v>22</v>
      </c>
      <c r="B40" s="288" t="s">
        <v>288</v>
      </c>
      <c r="C40" s="283">
        <v>194</v>
      </c>
      <c r="D40" s="284" t="s">
        <v>20</v>
      </c>
      <c r="E40" s="291">
        <v>0</v>
      </c>
      <c r="F40" s="291">
        <v>0</v>
      </c>
      <c r="G40" s="292">
        <f t="shared" si="21"/>
        <v>0</v>
      </c>
      <c r="H40" s="292">
        <f t="shared" si="22"/>
        <v>0</v>
      </c>
      <c r="I40" s="289">
        <f t="shared" si="23"/>
        <v>0</v>
      </c>
      <c r="J40" s="293" t="s">
        <v>273</v>
      </c>
    </row>
    <row r="41" spans="1:14" ht="21" x14ac:dyDescent="0.2">
      <c r="A41" s="281">
        <f>IF(C41&lt;&gt;"",1+MAX($A$6:A40),"")</f>
        <v>23</v>
      </c>
      <c r="B41" s="288" t="s">
        <v>289</v>
      </c>
      <c r="C41" s="283">
        <v>183</v>
      </c>
      <c r="D41" s="290" t="s">
        <v>20</v>
      </c>
      <c r="E41" s="291">
        <v>0</v>
      </c>
      <c r="F41" s="291">
        <v>0</v>
      </c>
      <c r="G41" s="292">
        <f t="shared" si="21"/>
        <v>0</v>
      </c>
      <c r="H41" s="292">
        <f t="shared" si="22"/>
        <v>0</v>
      </c>
      <c r="I41" s="289">
        <f t="shared" si="23"/>
        <v>0</v>
      </c>
      <c r="J41" s="293" t="s">
        <v>275</v>
      </c>
      <c r="N41" s="298"/>
    </row>
    <row r="42" spans="1:14" ht="21" x14ac:dyDescent="0.2">
      <c r="A42" s="281">
        <f>IF(C42&lt;&gt;"",1+MAX($A$6:A41),"")</f>
        <v>24</v>
      </c>
      <c r="B42" s="288" t="s">
        <v>274</v>
      </c>
      <c r="C42" s="283">
        <v>24</v>
      </c>
      <c r="D42" s="290" t="s">
        <v>20</v>
      </c>
      <c r="E42" s="285">
        <f t="shared" ref="E42:F42" si="24">E$12</f>
        <v>0</v>
      </c>
      <c r="F42" s="285">
        <f t="shared" si="24"/>
        <v>0</v>
      </c>
      <c r="G42" s="292">
        <f t="shared" si="21"/>
        <v>0</v>
      </c>
      <c r="H42" s="292">
        <f t="shared" si="22"/>
        <v>0</v>
      </c>
      <c r="I42" s="289">
        <f t="shared" si="23"/>
        <v>0</v>
      </c>
      <c r="J42" s="293" t="s">
        <v>275</v>
      </c>
      <c r="N42" s="298"/>
    </row>
    <row r="43" spans="1:14" ht="21" x14ac:dyDescent="0.2">
      <c r="A43" s="281">
        <f>IF(C43&lt;&gt;"",1+MAX($A$6:A42),"")</f>
        <v>25</v>
      </c>
      <c r="B43" s="288" t="s">
        <v>276</v>
      </c>
      <c r="C43" s="283">
        <v>17</v>
      </c>
      <c r="D43" s="284" t="s">
        <v>20</v>
      </c>
      <c r="E43" s="285">
        <f t="shared" ref="E43:F43" si="25">E$13</f>
        <v>0</v>
      </c>
      <c r="F43" s="285">
        <f t="shared" si="25"/>
        <v>0</v>
      </c>
      <c r="G43" s="292">
        <f t="shared" si="21"/>
        <v>0</v>
      </c>
      <c r="H43" s="292">
        <f t="shared" si="22"/>
        <v>0</v>
      </c>
      <c r="I43" s="289">
        <f t="shared" si="23"/>
        <v>0</v>
      </c>
      <c r="J43" s="293" t="s">
        <v>282</v>
      </c>
    </row>
    <row r="44" spans="1:14" ht="21" x14ac:dyDescent="0.2">
      <c r="A44" s="281" t="str">
        <f>IF(C44&lt;&gt;"",1+MAX($A$6:A43),"")</f>
        <v/>
      </c>
      <c r="B44" s="288"/>
      <c r="C44" s="296"/>
      <c r="D44" s="284"/>
      <c r="E44" s="285"/>
      <c r="F44" s="285"/>
      <c r="G44" s="285"/>
      <c r="H44" s="285"/>
      <c r="I44" s="289"/>
      <c r="J44" s="293"/>
    </row>
    <row r="45" spans="1:14" ht="21" x14ac:dyDescent="0.2">
      <c r="A45" s="281" t="str">
        <f>IF(C45&lt;&gt;"",1+MAX($A$6:A44),"")</f>
        <v/>
      </c>
      <c r="B45" s="282" t="s">
        <v>290</v>
      </c>
      <c r="C45" s="296"/>
      <c r="D45" s="284"/>
      <c r="E45" s="285"/>
      <c r="F45" s="285"/>
      <c r="G45" s="292"/>
      <c r="H45" s="292"/>
      <c r="I45" s="289"/>
      <c r="J45" s="293"/>
    </row>
    <row r="46" spans="1:14" ht="21" x14ac:dyDescent="0.2">
      <c r="A46" s="281" t="str">
        <f>IF(C46&lt;&gt;"",1+MAX($A$6:A45),"")</f>
        <v/>
      </c>
      <c r="B46" s="288"/>
      <c r="C46" s="296"/>
      <c r="D46" s="284"/>
      <c r="E46" s="285"/>
      <c r="F46" s="285"/>
      <c r="G46" s="292"/>
      <c r="H46" s="292"/>
      <c r="I46" s="289"/>
      <c r="J46" s="293"/>
    </row>
    <row r="47" spans="1:14" ht="21" x14ac:dyDescent="0.2">
      <c r="A47" s="281">
        <f>IF(C47&lt;&gt;"",1+MAX($A$6:A46),"")</f>
        <v>26</v>
      </c>
      <c r="B47" s="288" t="s">
        <v>291</v>
      </c>
      <c r="C47" s="283">
        <v>11</v>
      </c>
      <c r="D47" s="284" t="s">
        <v>20</v>
      </c>
      <c r="E47" s="291">
        <v>0</v>
      </c>
      <c r="F47" s="291">
        <v>0</v>
      </c>
      <c r="G47" s="292">
        <f t="shared" ref="G47:G65" si="26">E47*C47</f>
        <v>0</v>
      </c>
      <c r="H47" s="292">
        <f t="shared" ref="H47:H65" si="27">F47*C47</f>
        <v>0</v>
      </c>
      <c r="I47" s="289">
        <f t="shared" ref="I47:I65" si="28">H47+G47</f>
        <v>0</v>
      </c>
      <c r="J47" s="293" t="s">
        <v>292</v>
      </c>
    </row>
    <row r="48" spans="1:14" ht="21" x14ac:dyDescent="0.2">
      <c r="A48" s="281">
        <f>IF(C48&lt;&gt;"",1+MAX($A$6:A47),"")</f>
        <v>27</v>
      </c>
      <c r="B48" s="288" t="s">
        <v>293</v>
      </c>
      <c r="C48" s="283">
        <v>9</v>
      </c>
      <c r="D48" s="284" t="s">
        <v>20</v>
      </c>
      <c r="E48" s="291">
        <v>0</v>
      </c>
      <c r="F48" s="291">
        <v>0</v>
      </c>
      <c r="G48" s="292">
        <f t="shared" si="26"/>
        <v>0</v>
      </c>
      <c r="H48" s="292">
        <f t="shared" si="27"/>
        <v>0</v>
      </c>
      <c r="I48" s="289">
        <f t="shared" si="28"/>
        <v>0</v>
      </c>
      <c r="J48" s="293" t="s">
        <v>292</v>
      </c>
    </row>
    <row r="49" spans="1:10" ht="21" x14ac:dyDescent="0.2">
      <c r="A49" s="281">
        <f>IF(C49&lt;&gt;"",1+MAX($A$6:A48),"")</f>
        <v>28</v>
      </c>
      <c r="B49" s="288" t="s">
        <v>294</v>
      </c>
      <c r="C49" s="283">
        <v>1</v>
      </c>
      <c r="D49" s="284" t="s">
        <v>20</v>
      </c>
      <c r="E49" s="291">
        <v>0</v>
      </c>
      <c r="F49" s="291">
        <v>0</v>
      </c>
      <c r="G49" s="292">
        <f t="shared" si="26"/>
        <v>0</v>
      </c>
      <c r="H49" s="292">
        <f t="shared" si="27"/>
        <v>0</v>
      </c>
      <c r="I49" s="289">
        <f t="shared" si="28"/>
        <v>0</v>
      </c>
      <c r="J49" s="293" t="s">
        <v>292</v>
      </c>
    </row>
    <row r="50" spans="1:10" ht="21" x14ac:dyDescent="0.2">
      <c r="A50" s="281">
        <f>IF(C50&lt;&gt;"",1+MAX($A$6:A49),"")</f>
        <v>29</v>
      </c>
      <c r="B50" s="288" t="s">
        <v>293</v>
      </c>
      <c r="C50" s="283">
        <v>6</v>
      </c>
      <c r="D50" s="284" t="s">
        <v>20</v>
      </c>
      <c r="E50" s="285">
        <f t="shared" ref="E50:F50" si="29">E$48</f>
        <v>0</v>
      </c>
      <c r="F50" s="285">
        <f t="shared" si="29"/>
        <v>0</v>
      </c>
      <c r="G50" s="292">
        <f t="shared" si="26"/>
        <v>0</v>
      </c>
      <c r="H50" s="292">
        <f t="shared" si="27"/>
        <v>0</v>
      </c>
      <c r="I50" s="289">
        <f t="shared" si="28"/>
        <v>0</v>
      </c>
      <c r="J50" s="293" t="s">
        <v>292</v>
      </c>
    </row>
    <row r="51" spans="1:10" ht="21" x14ac:dyDescent="0.2">
      <c r="A51" s="281">
        <f>IF(C51&lt;&gt;"",1+MAX($A$6:A50),"")</f>
        <v>30</v>
      </c>
      <c r="B51" s="288" t="s">
        <v>295</v>
      </c>
      <c r="C51" s="283">
        <v>1</v>
      </c>
      <c r="D51" s="284" t="s">
        <v>20</v>
      </c>
      <c r="E51" s="291">
        <v>0</v>
      </c>
      <c r="F51" s="291">
        <v>0</v>
      </c>
      <c r="G51" s="292">
        <f t="shared" si="26"/>
        <v>0</v>
      </c>
      <c r="H51" s="292">
        <f t="shared" si="27"/>
        <v>0</v>
      </c>
      <c r="I51" s="289">
        <f t="shared" si="28"/>
        <v>0</v>
      </c>
      <c r="J51" s="293" t="s">
        <v>292</v>
      </c>
    </row>
    <row r="52" spans="1:10" ht="21" x14ac:dyDescent="0.2">
      <c r="A52" s="281">
        <f>IF(C52&lt;&gt;"",1+MAX($A$6:A51),"")</f>
        <v>31</v>
      </c>
      <c r="B52" s="288" t="s">
        <v>296</v>
      </c>
      <c r="C52" s="283">
        <v>5</v>
      </c>
      <c r="D52" s="284" t="s">
        <v>20</v>
      </c>
      <c r="E52" s="291">
        <v>0</v>
      </c>
      <c r="F52" s="291">
        <v>0</v>
      </c>
      <c r="G52" s="292">
        <f t="shared" si="26"/>
        <v>0</v>
      </c>
      <c r="H52" s="292">
        <f t="shared" si="27"/>
        <v>0</v>
      </c>
      <c r="I52" s="289">
        <f t="shared" si="28"/>
        <v>0</v>
      </c>
      <c r="J52" s="293" t="s">
        <v>292</v>
      </c>
    </row>
    <row r="53" spans="1:10" ht="21" x14ac:dyDescent="0.2">
      <c r="A53" s="281">
        <f>IF(C53&lt;&gt;"",1+MAX($A$6:A52),"")</f>
        <v>32</v>
      </c>
      <c r="B53" s="288" t="s">
        <v>297</v>
      </c>
      <c r="C53" s="283">
        <v>144</v>
      </c>
      <c r="D53" s="284" t="s">
        <v>15</v>
      </c>
      <c r="E53" s="291">
        <v>0</v>
      </c>
      <c r="F53" s="291">
        <v>0</v>
      </c>
      <c r="G53" s="292">
        <f t="shared" si="26"/>
        <v>0</v>
      </c>
      <c r="H53" s="292">
        <f t="shared" si="27"/>
        <v>0</v>
      </c>
      <c r="I53" s="289">
        <f t="shared" si="28"/>
        <v>0</v>
      </c>
      <c r="J53" s="293" t="s">
        <v>292</v>
      </c>
    </row>
    <row r="54" spans="1:10" ht="21" x14ac:dyDescent="0.2">
      <c r="A54" s="281">
        <f>IF(C54&lt;&gt;"",1+MAX($A$6:A53),"")</f>
        <v>33</v>
      </c>
      <c r="B54" s="288" t="s">
        <v>298</v>
      </c>
      <c r="C54" s="283">
        <v>10</v>
      </c>
      <c r="D54" s="284" t="s">
        <v>15</v>
      </c>
      <c r="E54" s="291">
        <v>0</v>
      </c>
      <c r="F54" s="291">
        <v>0</v>
      </c>
      <c r="G54" s="292">
        <f t="shared" si="26"/>
        <v>0</v>
      </c>
      <c r="H54" s="292">
        <f t="shared" si="27"/>
        <v>0</v>
      </c>
      <c r="I54" s="289">
        <f t="shared" si="28"/>
        <v>0</v>
      </c>
      <c r="J54" s="293" t="s">
        <v>292</v>
      </c>
    </row>
    <row r="55" spans="1:10" ht="21" x14ac:dyDescent="0.2">
      <c r="A55" s="281">
        <f>IF(C55&lt;&gt;"",1+MAX($A$6:A54),"")</f>
        <v>34</v>
      </c>
      <c r="B55" s="288" t="s">
        <v>299</v>
      </c>
      <c r="C55" s="283">
        <v>112</v>
      </c>
      <c r="D55" s="284" t="s">
        <v>15</v>
      </c>
      <c r="E55" s="291">
        <v>0</v>
      </c>
      <c r="F55" s="291">
        <v>0</v>
      </c>
      <c r="G55" s="292">
        <f t="shared" si="26"/>
        <v>0</v>
      </c>
      <c r="H55" s="292">
        <f t="shared" si="27"/>
        <v>0</v>
      </c>
      <c r="I55" s="289">
        <f t="shared" si="28"/>
        <v>0</v>
      </c>
      <c r="J55" s="293" t="s">
        <v>292</v>
      </c>
    </row>
    <row r="56" spans="1:10" ht="21" x14ac:dyDescent="0.2">
      <c r="A56" s="281">
        <f>IF(C56&lt;&gt;"",1+MAX($A$6:A55),"")</f>
        <v>35</v>
      </c>
      <c r="B56" s="288" t="s">
        <v>300</v>
      </c>
      <c r="C56" s="283">
        <v>96</v>
      </c>
      <c r="D56" s="284" t="s">
        <v>15</v>
      </c>
      <c r="E56" s="291">
        <v>0</v>
      </c>
      <c r="F56" s="291">
        <v>0</v>
      </c>
      <c r="G56" s="292">
        <f t="shared" si="26"/>
        <v>0</v>
      </c>
      <c r="H56" s="292">
        <f t="shared" si="27"/>
        <v>0</v>
      </c>
      <c r="I56" s="289">
        <f t="shared" si="28"/>
        <v>0</v>
      </c>
      <c r="J56" s="293" t="s">
        <v>292</v>
      </c>
    </row>
    <row r="57" spans="1:10" ht="21" x14ac:dyDescent="0.2">
      <c r="A57" s="281">
        <f>IF(C57&lt;&gt;"",1+MAX($A$6:A56),"")</f>
        <v>36</v>
      </c>
      <c r="B57" s="288" t="s">
        <v>301</v>
      </c>
      <c r="C57" s="283">
        <v>1</v>
      </c>
      <c r="D57" s="284" t="s">
        <v>20</v>
      </c>
      <c r="E57" s="291">
        <v>0</v>
      </c>
      <c r="F57" s="291">
        <v>0</v>
      </c>
      <c r="G57" s="292">
        <f t="shared" si="26"/>
        <v>0</v>
      </c>
      <c r="H57" s="292">
        <f t="shared" si="27"/>
        <v>0</v>
      </c>
      <c r="I57" s="289">
        <f t="shared" si="28"/>
        <v>0</v>
      </c>
      <c r="J57" s="293" t="s">
        <v>292</v>
      </c>
    </row>
    <row r="58" spans="1:10" ht="21" x14ac:dyDescent="0.2">
      <c r="A58" s="281">
        <f>IF(C58&lt;&gt;"",1+MAX($A$6:A57),"")</f>
        <v>37</v>
      </c>
      <c r="B58" s="288" t="s">
        <v>302</v>
      </c>
      <c r="C58" s="283">
        <v>3</v>
      </c>
      <c r="D58" s="284" t="s">
        <v>20</v>
      </c>
      <c r="E58" s="291">
        <v>0</v>
      </c>
      <c r="F58" s="291">
        <v>0</v>
      </c>
      <c r="G58" s="292">
        <f t="shared" si="26"/>
        <v>0</v>
      </c>
      <c r="H58" s="292">
        <f t="shared" si="27"/>
        <v>0</v>
      </c>
      <c r="I58" s="289">
        <f t="shared" si="28"/>
        <v>0</v>
      </c>
      <c r="J58" s="293" t="s">
        <v>292</v>
      </c>
    </row>
    <row r="59" spans="1:10" ht="21" x14ac:dyDescent="0.2">
      <c r="A59" s="281">
        <f>IF(C59&lt;&gt;"",1+MAX($A$6:A58),"")</f>
        <v>38</v>
      </c>
      <c r="B59" s="288" t="s">
        <v>303</v>
      </c>
      <c r="C59" s="283">
        <v>3</v>
      </c>
      <c r="D59" s="284" t="s">
        <v>20</v>
      </c>
      <c r="E59" s="291">
        <v>0</v>
      </c>
      <c r="F59" s="291">
        <v>0</v>
      </c>
      <c r="G59" s="292">
        <f t="shared" si="26"/>
        <v>0</v>
      </c>
      <c r="H59" s="292">
        <f t="shared" si="27"/>
        <v>0</v>
      </c>
      <c r="I59" s="289">
        <f t="shared" si="28"/>
        <v>0</v>
      </c>
      <c r="J59" s="293" t="s">
        <v>304</v>
      </c>
    </row>
    <row r="60" spans="1:10" ht="21" x14ac:dyDescent="0.2">
      <c r="A60" s="281">
        <f>IF(C60&lt;&gt;"",1+MAX($A$6:A59),"")</f>
        <v>39</v>
      </c>
      <c r="B60" s="288" t="s">
        <v>305</v>
      </c>
      <c r="C60" s="283">
        <v>79</v>
      </c>
      <c r="D60" s="284" t="s">
        <v>20</v>
      </c>
      <c r="E60" s="291">
        <v>0</v>
      </c>
      <c r="F60" s="291">
        <v>0</v>
      </c>
      <c r="G60" s="292">
        <f t="shared" si="26"/>
        <v>0</v>
      </c>
      <c r="H60" s="292">
        <f t="shared" si="27"/>
        <v>0</v>
      </c>
      <c r="I60" s="289">
        <f t="shared" si="28"/>
        <v>0</v>
      </c>
      <c r="J60" s="293" t="s">
        <v>304</v>
      </c>
    </row>
    <row r="61" spans="1:10" ht="21" x14ac:dyDescent="0.2">
      <c r="A61" s="281">
        <f>IF(C61&lt;&gt;"",1+MAX($A$6:A60),"")</f>
        <v>40</v>
      </c>
      <c r="B61" s="288" t="s">
        <v>306</v>
      </c>
      <c r="C61" s="283">
        <v>5</v>
      </c>
      <c r="D61" s="284" t="s">
        <v>20</v>
      </c>
      <c r="E61" s="291">
        <v>0</v>
      </c>
      <c r="F61" s="291">
        <v>0</v>
      </c>
      <c r="G61" s="292">
        <f t="shared" si="26"/>
        <v>0</v>
      </c>
      <c r="H61" s="292">
        <f t="shared" si="27"/>
        <v>0</v>
      </c>
      <c r="I61" s="289">
        <f t="shared" si="28"/>
        <v>0</v>
      </c>
      <c r="J61" s="293" t="s">
        <v>304</v>
      </c>
    </row>
    <row r="62" spans="1:10" ht="21" x14ac:dyDescent="0.2">
      <c r="A62" s="281">
        <f>IF(C62&lt;&gt;"",1+MAX($A$6:A61),"")</f>
        <v>41</v>
      </c>
      <c r="B62" s="288" t="s">
        <v>307</v>
      </c>
      <c r="C62" s="283">
        <v>2</v>
      </c>
      <c r="D62" s="284" t="s">
        <v>20</v>
      </c>
      <c r="E62" s="291">
        <v>0</v>
      </c>
      <c r="F62" s="291">
        <v>0</v>
      </c>
      <c r="G62" s="292">
        <f t="shared" si="26"/>
        <v>0</v>
      </c>
      <c r="H62" s="292">
        <f t="shared" si="27"/>
        <v>0</v>
      </c>
      <c r="I62" s="289">
        <f t="shared" si="28"/>
        <v>0</v>
      </c>
      <c r="J62" s="293" t="s">
        <v>304</v>
      </c>
    </row>
    <row r="63" spans="1:10" ht="21" x14ac:dyDescent="0.2">
      <c r="A63" s="281">
        <f>IF(C63&lt;&gt;"",1+MAX($A$6:A62),"")</f>
        <v>42</v>
      </c>
      <c r="B63" s="288" t="s">
        <v>308</v>
      </c>
      <c r="C63" s="283">
        <v>21</v>
      </c>
      <c r="D63" s="284" t="s">
        <v>20</v>
      </c>
      <c r="E63" s="291">
        <v>0</v>
      </c>
      <c r="F63" s="291">
        <v>0</v>
      </c>
      <c r="G63" s="292">
        <f t="shared" si="26"/>
        <v>0</v>
      </c>
      <c r="H63" s="292">
        <f t="shared" si="27"/>
        <v>0</v>
      </c>
      <c r="I63" s="289">
        <f t="shared" si="28"/>
        <v>0</v>
      </c>
      <c r="J63" s="293" t="s">
        <v>304</v>
      </c>
    </row>
    <row r="64" spans="1:10" ht="21" x14ac:dyDescent="0.2">
      <c r="A64" s="281">
        <f>IF(C64&lt;&gt;"",1+MAX($A$6:A63),"")</f>
        <v>43</v>
      </c>
      <c r="B64" s="288" t="s">
        <v>309</v>
      </c>
      <c r="C64" s="283">
        <v>8</v>
      </c>
      <c r="D64" s="284" t="s">
        <v>20</v>
      </c>
      <c r="E64" s="291">
        <v>0</v>
      </c>
      <c r="F64" s="291">
        <v>0</v>
      </c>
      <c r="G64" s="292">
        <f t="shared" si="26"/>
        <v>0</v>
      </c>
      <c r="H64" s="292">
        <f t="shared" si="27"/>
        <v>0</v>
      </c>
      <c r="I64" s="289">
        <f t="shared" si="28"/>
        <v>0</v>
      </c>
      <c r="J64" s="293" t="s">
        <v>304</v>
      </c>
    </row>
    <row r="65" spans="1:10" ht="21" x14ac:dyDescent="0.2">
      <c r="A65" s="281">
        <f>IF(C65&lt;&gt;"",1+MAX($A$6:A64),"")</f>
        <v>44</v>
      </c>
      <c r="B65" s="288" t="s">
        <v>310</v>
      </c>
      <c r="C65" s="283">
        <v>2</v>
      </c>
      <c r="D65" s="284" t="s">
        <v>20</v>
      </c>
      <c r="E65" s="291">
        <v>0</v>
      </c>
      <c r="F65" s="291">
        <v>0</v>
      </c>
      <c r="G65" s="292">
        <f t="shared" si="26"/>
        <v>0</v>
      </c>
      <c r="H65" s="292">
        <f t="shared" si="27"/>
        <v>0</v>
      </c>
      <c r="I65" s="289">
        <f t="shared" si="28"/>
        <v>0</v>
      </c>
      <c r="J65" s="293" t="s">
        <v>304</v>
      </c>
    </row>
    <row r="66" spans="1:10" ht="21" x14ac:dyDescent="0.2">
      <c r="A66" s="281" t="str">
        <f>IF(C66&lt;&gt;"",1+MAX($A$6:A65),"")</f>
        <v/>
      </c>
      <c r="B66" s="288"/>
      <c r="C66" s="296"/>
      <c r="D66" s="284"/>
      <c r="E66" s="285"/>
      <c r="F66" s="285"/>
      <c r="G66" s="285"/>
      <c r="H66" s="285"/>
      <c r="I66" s="289"/>
      <c r="J66" s="293"/>
    </row>
    <row r="67" spans="1:10" ht="21" x14ac:dyDescent="0.2">
      <c r="A67" s="281" t="str">
        <f>IF(C67&lt;&gt;"",1+MAX($A$6:A66),"")</f>
        <v/>
      </c>
      <c r="B67" s="282" t="s">
        <v>311</v>
      </c>
      <c r="C67" s="296"/>
      <c r="D67" s="284"/>
      <c r="E67" s="285"/>
      <c r="F67" s="285"/>
      <c r="G67" s="292"/>
      <c r="H67" s="292"/>
      <c r="I67" s="289"/>
      <c r="J67" s="293"/>
    </row>
    <row r="68" spans="1:10" ht="21" x14ac:dyDescent="0.2">
      <c r="A68" s="281" t="str">
        <f>IF(C68&lt;&gt;"",1+MAX($A$6:A67),"")</f>
        <v/>
      </c>
      <c r="B68" s="288"/>
      <c r="C68" s="296"/>
      <c r="D68" s="284"/>
      <c r="E68" s="285"/>
      <c r="F68" s="285"/>
      <c r="G68" s="292"/>
      <c r="H68" s="292"/>
      <c r="I68" s="289"/>
      <c r="J68" s="293"/>
    </row>
    <row r="69" spans="1:10" ht="21" x14ac:dyDescent="0.2">
      <c r="A69" s="281">
        <f>IF(C69&lt;&gt;"",1+MAX($A$6:A68),"")</f>
        <v>45</v>
      </c>
      <c r="B69" s="288" t="s">
        <v>289</v>
      </c>
      <c r="C69" s="283">
        <v>105</v>
      </c>
      <c r="D69" s="284" t="s">
        <v>20</v>
      </c>
      <c r="E69" s="285">
        <f t="shared" ref="E69:F69" si="30">E$41</f>
        <v>0</v>
      </c>
      <c r="F69" s="285">
        <f t="shared" si="30"/>
        <v>0</v>
      </c>
      <c r="G69" s="292">
        <f t="shared" ref="G69:G85" si="31">E69*C69</f>
        <v>0</v>
      </c>
      <c r="H69" s="292">
        <f t="shared" ref="H69:H85" si="32">F69*C69</f>
        <v>0</v>
      </c>
      <c r="I69" s="289">
        <f t="shared" ref="I69:I85" si="33">H69+G69</f>
        <v>0</v>
      </c>
      <c r="J69" s="293" t="s">
        <v>312</v>
      </c>
    </row>
    <row r="70" spans="1:10" ht="21" x14ac:dyDescent="0.2">
      <c r="A70" s="281">
        <f>IF(C70&lt;&gt;"",1+MAX($A$6:A69),"")</f>
        <v>46</v>
      </c>
      <c r="B70" s="288" t="s">
        <v>274</v>
      </c>
      <c r="C70" s="283">
        <v>79</v>
      </c>
      <c r="D70" s="284" t="s">
        <v>20</v>
      </c>
      <c r="E70" s="285">
        <f t="shared" ref="E70:F70" si="34">E$12</f>
        <v>0</v>
      </c>
      <c r="F70" s="285">
        <f t="shared" si="34"/>
        <v>0</v>
      </c>
      <c r="G70" s="292">
        <f t="shared" si="31"/>
        <v>0</v>
      </c>
      <c r="H70" s="292">
        <f t="shared" si="32"/>
        <v>0</v>
      </c>
      <c r="I70" s="289">
        <f t="shared" si="33"/>
        <v>0</v>
      </c>
      <c r="J70" s="293" t="s">
        <v>313</v>
      </c>
    </row>
    <row r="71" spans="1:10" ht="21" x14ac:dyDescent="0.2">
      <c r="A71" s="281">
        <f>IF(C71&lt;&gt;"",1+MAX($A$6:A70),"")</f>
        <v>47</v>
      </c>
      <c r="B71" s="288" t="s">
        <v>314</v>
      </c>
      <c r="C71" s="283">
        <v>27</v>
      </c>
      <c r="D71" s="284" t="s">
        <v>20</v>
      </c>
      <c r="E71" s="291">
        <v>0</v>
      </c>
      <c r="F71" s="291">
        <v>0</v>
      </c>
      <c r="G71" s="292">
        <f t="shared" si="31"/>
        <v>0</v>
      </c>
      <c r="H71" s="292">
        <f t="shared" si="32"/>
        <v>0</v>
      </c>
      <c r="I71" s="289">
        <f t="shared" si="33"/>
        <v>0</v>
      </c>
      <c r="J71" s="293" t="s">
        <v>315</v>
      </c>
    </row>
    <row r="72" spans="1:10" ht="21" x14ac:dyDescent="0.2">
      <c r="A72" s="281">
        <f>IF(C72&lt;&gt;"",1+MAX($A$6:A71),"")</f>
        <v>48</v>
      </c>
      <c r="B72" s="288" t="s">
        <v>316</v>
      </c>
      <c r="C72" s="283">
        <v>55</v>
      </c>
      <c r="D72" s="284" t="s">
        <v>20</v>
      </c>
      <c r="E72" s="291">
        <v>0</v>
      </c>
      <c r="F72" s="291">
        <v>0</v>
      </c>
      <c r="G72" s="292">
        <f t="shared" si="31"/>
        <v>0</v>
      </c>
      <c r="H72" s="292">
        <f t="shared" si="32"/>
        <v>0</v>
      </c>
      <c r="I72" s="289">
        <f t="shared" si="33"/>
        <v>0</v>
      </c>
      <c r="J72" s="293" t="s">
        <v>315</v>
      </c>
    </row>
    <row r="73" spans="1:10" ht="21" x14ac:dyDescent="0.2">
      <c r="A73" s="281">
        <f>IF(C73&lt;&gt;"",1+MAX($A$6:A72),"")</f>
        <v>49</v>
      </c>
      <c r="B73" s="288" t="s">
        <v>317</v>
      </c>
      <c r="C73" s="283">
        <v>8</v>
      </c>
      <c r="D73" s="284" t="s">
        <v>20</v>
      </c>
      <c r="E73" s="291">
        <v>0</v>
      </c>
      <c r="F73" s="291">
        <v>0</v>
      </c>
      <c r="G73" s="292">
        <f t="shared" si="31"/>
        <v>0</v>
      </c>
      <c r="H73" s="292">
        <f t="shared" si="32"/>
        <v>0</v>
      </c>
      <c r="I73" s="289">
        <f t="shared" si="33"/>
        <v>0</v>
      </c>
      <c r="J73" s="293" t="s">
        <v>315</v>
      </c>
    </row>
    <row r="74" spans="1:10" ht="21" x14ac:dyDescent="0.2">
      <c r="A74" s="281">
        <f>IF(C74&lt;&gt;"",1+MAX($A$6:A73),"")</f>
        <v>50</v>
      </c>
      <c r="B74" s="288" t="s">
        <v>281</v>
      </c>
      <c r="C74" s="283">
        <v>27</v>
      </c>
      <c r="D74" s="284" t="s">
        <v>20</v>
      </c>
      <c r="E74" s="285">
        <f t="shared" ref="E74:F74" si="35">E$22</f>
        <v>0</v>
      </c>
      <c r="F74" s="285">
        <f t="shared" si="35"/>
        <v>0</v>
      </c>
      <c r="G74" s="292">
        <f t="shared" si="31"/>
        <v>0</v>
      </c>
      <c r="H74" s="292">
        <f t="shared" si="32"/>
        <v>0</v>
      </c>
      <c r="I74" s="289">
        <f t="shared" si="33"/>
        <v>0</v>
      </c>
      <c r="J74" s="293" t="s">
        <v>318</v>
      </c>
    </row>
    <row r="75" spans="1:10" ht="21" x14ac:dyDescent="0.2">
      <c r="A75" s="281">
        <f>IF(C75&lt;&gt;"",1+MAX($A$6:A74),"")</f>
        <v>51</v>
      </c>
      <c r="B75" s="288" t="s">
        <v>319</v>
      </c>
      <c r="C75" s="283">
        <v>20</v>
      </c>
      <c r="D75" s="284" t="s">
        <v>20</v>
      </c>
      <c r="E75" s="291">
        <v>0</v>
      </c>
      <c r="F75" s="291">
        <v>0</v>
      </c>
      <c r="G75" s="292">
        <f t="shared" si="31"/>
        <v>0</v>
      </c>
      <c r="H75" s="292">
        <f t="shared" si="32"/>
        <v>0</v>
      </c>
      <c r="I75" s="289">
        <f t="shared" si="33"/>
        <v>0</v>
      </c>
      <c r="J75" s="293" t="s">
        <v>320</v>
      </c>
    </row>
    <row r="76" spans="1:10" ht="21" x14ac:dyDescent="0.2">
      <c r="A76" s="281">
        <f>IF(C76&lt;&gt;"",1+MAX($A$6:A75),"")</f>
        <v>52</v>
      </c>
      <c r="B76" s="288" t="s">
        <v>321</v>
      </c>
      <c r="C76" s="283">
        <v>61</v>
      </c>
      <c r="D76" s="284" t="s">
        <v>20</v>
      </c>
      <c r="E76" s="291">
        <v>0</v>
      </c>
      <c r="F76" s="291">
        <v>0</v>
      </c>
      <c r="G76" s="292">
        <f t="shared" si="31"/>
        <v>0</v>
      </c>
      <c r="H76" s="292">
        <f t="shared" si="32"/>
        <v>0</v>
      </c>
      <c r="I76" s="289">
        <f t="shared" si="33"/>
        <v>0</v>
      </c>
      <c r="J76" s="293" t="s">
        <v>320</v>
      </c>
    </row>
    <row r="77" spans="1:10" ht="21" x14ac:dyDescent="0.2">
      <c r="A77" s="281">
        <f>IF(C77&lt;&gt;"",1+MAX($A$6:A76),"")</f>
        <v>53</v>
      </c>
      <c r="B77" s="288" t="s">
        <v>322</v>
      </c>
      <c r="C77" s="283">
        <v>71</v>
      </c>
      <c r="D77" s="284" t="s">
        <v>20</v>
      </c>
      <c r="E77" s="291">
        <v>0</v>
      </c>
      <c r="F77" s="291">
        <v>0</v>
      </c>
      <c r="G77" s="292">
        <f t="shared" si="31"/>
        <v>0</v>
      </c>
      <c r="H77" s="292">
        <f t="shared" si="32"/>
        <v>0</v>
      </c>
      <c r="I77" s="289">
        <f t="shared" si="33"/>
        <v>0</v>
      </c>
      <c r="J77" s="293" t="s">
        <v>320</v>
      </c>
    </row>
    <row r="78" spans="1:10" ht="21" x14ac:dyDescent="0.2">
      <c r="A78" s="281">
        <f>IF(C78&lt;&gt;"",1+MAX($A$6:A77),"")</f>
        <v>54</v>
      </c>
      <c r="B78" s="288" t="s">
        <v>323</v>
      </c>
      <c r="C78" s="283">
        <v>117</v>
      </c>
      <c r="D78" s="284" t="s">
        <v>20</v>
      </c>
      <c r="E78" s="291">
        <v>0</v>
      </c>
      <c r="F78" s="291">
        <v>0</v>
      </c>
      <c r="G78" s="292">
        <f t="shared" si="31"/>
        <v>0</v>
      </c>
      <c r="H78" s="292">
        <f t="shared" si="32"/>
        <v>0</v>
      </c>
      <c r="I78" s="289">
        <f t="shared" si="33"/>
        <v>0</v>
      </c>
      <c r="J78" s="293" t="s">
        <v>320</v>
      </c>
    </row>
    <row r="79" spans="1:10" ht="21" x14ac:dyDescent="0.2">
      <c r="A79" s="281">
        <f>IF(C79&lt;&gt;"",1+MAX($A$6:A78),"")</f>
        <v>55</v>
      </c>
      <c r="B79" s="288" t="s">
        <v>324</v>
      </c>
      <c r="C79" s="283">
        <v>33</v>
      </c>
      <c r="D79" s="284" t="s">
        <v>20</v>
      </c>
      <c r="E79" s="291">
        <v>0</v>
      </c>
      <c r="F79" s="291">
        <v>0</v>
      </c>
      <c r="G79" s="292">
        <f t="shared" si="31"/>
        <v>0</v>
      </c>
      <c r="H79" s="292">
        <f t="shared" si="32"/>
        <v>0</v>
      </c>
      <c r="I79" s="289">
        <f t="shared" si="33"/>
        <v>0</v>
      </c>
      <c r="J79" s="293" t="s">
        <v>320</v>
      </c>
    </row>
    <row r="80" spans="1:10" ht="21" x14ac:dyDescent="0.2">
      <c r="A80" s="281">
        <f>IF(C80&lt;&gt;"",1+MAX($A$6:A79),"")</f>
        <v>56</v>
      </c>
      <c r="B80" s="288" t="s">
        <v>325</v>
      </c>
      <c r="C80" s="283">
        <v>13</v>
      </c>
      <c r="D80" s="284" t="s">
        <v>20</v>
      </c>
      <c r="E80" s="291">
        <v>0</v>
      </c>
      <c r="F80" s="291">
        <v>0</v>
      </c>
      <c r="G80" s="292">
        <f t="shared" si="31"/>
        <v>0</v>
      </c>
      <c r="H80" s="292">
        <f t="shared" si="32"/>
        <v>0</v>
      </c>
      <c r="I80" s="289">
        <f t="shared" si="33"/>
        <v>0</v>
      </c>
      <c r="J80" s="293" t="s">
        <v>320</v>
      </c>
    </row>
    <row r="81" spans="1:14" ht="21" x14ac:dyDescent="0.2">
      <c r="A81" s="281">
        <f>IF(C81&lt;&gt;"",1+MAX($A$6:A80),"")</f>
        <v>57</v>
      </c>
      <c r="B81" s="288" t="s">
        <v>326</v>
      </c>
      <c r="C81" s="283">
        <v>11</v>
      </c>
      <c r="D81" s="284" t="s">
        <v>20</v>
      </c>
      <c r="E81" s="291">
        <v>0</v>
      </c>
      <c r="F81" s="291">
        <v>0</v>
      </c>
      <c r="G81" s="292">
        <f t="shared" si="31"/>
        <v>0</v>
      </c>
      <c r="H81" s="292">
        <f t="shared" si="32"/>
        <v>0</v>
      </c>
      <c r="I81" s="289">
        <f t="shared" si="33"/>
        <v>0</v>
      </c>
      <c r="J81" s="293" t="s">
        <v>320</v>
      </c>
    </row>
    <row r="82" spans="1:14" ht="21" x14ac:dyDescent="0.2">
      <c r="A82" s="281">
        <f>IF(C82&lt;&gt;"",1+MAX($A$6:A81),"")</f>
        <v>58</v>
      </c>
      <c r="B82" s="288" t="s">
        <v>327</v>
      </c>
      <c r="C82" s="283">
        <v>22</v>
      </c>
      <c r="D82" s="284" t="s">
        <v>20</v>
      </c>
      <c r="E82" s="291">
        <v>0</v>
      </c>
      <c r="F82" s="291">
        <v>0</v>
      </c>
      <c r="G82" s="292">
        <f t="shared" si="31"/>
        <v>0</v>
      </c>
      <c r="H82" s="292">
        <f t="shared" si="32"/>
        <v>0</v>
      </c>
      <c r="I82" s="289">
        <f t="shared" si="33"/>
        <v>0</v>
      </c>
      <c r="J82" s="293" t="s">
        <v>320</v>
      </c>
    </row>
    <row r="83" spans="1:14" ht="21" x14ac:dyDescent="0.2">
      <c r="A83" s="281">
        <f>IF(C83&lt;&gt;"",1+MAX($A$6:A82),"")</f>
        <v>59</v>
      </c>
      <c r="B83" s="288" t="s">
        <v>328</v>
      </c>
      <c r="C83" s="283">
        <v>7</v>
      </c>
      <c r="D83" s="284" t="s">
        <v>20</v>
      </c>
      <c r="E83" s="291">
        <v>0</v>
      </c>
      <c r="F83" s="291">
        <v>0</v>
      </c>
      <c r="G83" s="292">
        <f t="shared" si="31"/>
        <v>0</v>
      </c>
      <c r="H83" s="292">
        <f t="shared" si="32"/>
        <v>0</v>
      </c>
      <c r="I83" s="289">
        <f t="shared" si="33"/>
        <v>0</v>
      </c>
      <c r="J83" s="293" t="s">
        <v>320</v>
      </c>
    </row>
    <row r="84" spans="1:14" ht="21" x14ac:dyDescent="0.2">
      <c r="A84" s="281">
        <f>IF(C84&lt;&gt;"",1+MAX($A$6:A83),"")</f>
        <v>60</v>
      </c>
      <c r="B84" s="288" t="s">
        <v>329</v>
      </c>
      <c r="C84" s="283">
        <v>338</v>
      </c>
      <c r="D84" s="284" t="s">
        <v>20</v>
      </c>
      <c r="E84" s="291">
        <v>0</v>
      </c>
      <c r="F84" s="291">
        <v>0</v>
      </c>
      <c r="G84" s="292">
        <f t="shared" si="31"/>
        <v>0</v>
      </c>
      <c r="H84" s="292">
        <f t="shared" si="32"/>
        <v>0</v>
      </c>
      <c r="I84" s="289">
        <f t="shared" si="33"/>
        <v>0</v>
      </c>
      <c r="J84" s="293" t="s">
        <v>330</v>
      </c>
    </row>
    <row r="85" spans="1:14" ht="21" x14ac:dyDescent="0.2">
      <c r="A85" s="281">
        <f>IF(C85&lt;&gt;"",1+MAX($A$6:A84),"")</f>
        <v>61</v>
      </c>
      <c r="B85" s="288" t="s">
        <v>331</v>
      </c>
      <c r="C85" s="283">
        <v>84</v>
      </c>
      <c r="D85" s="290" t="s">
        <v>20</v>
      </c>
      <c r="E85" s="291">
        <v>0</v>
      </c>
      <c r="F85" s="291">
        <v>0</v>
      </c>
      <c r="G85" s="292">
        <f t="shared" si="31"/>
        <v>0</v>
      </c>
      <c r="H85" s="292">
        <f t="shared" si="32"/>
        <v>0</v>
      </c>
      <c r="I85" s="289">
        <f t="shared" si="33"/>
        <v>0</v>
      </c>
      <c r="J85" s="293" t="s">
        <v>332</v>
      </c>
      <c r="N85" s="298"/>
    </row>
    <row r="86" spans="1:14" ht="21" x14ac:dyDescent="0.2">
      <c r="A86" s="281" t="str">
        <f>IF(C86&lt;&gt;"",1+MAX($A$6:A85),"")</f>
        <v/>
      </c>
      <c r="B86" s="301"/>
      <c r="C86" s="302"/>
      <c r="D86" s="303"/>
      <c r="E86" s="285"/>
      <c r="F86" s="285"/>
      <c r="G86" s="285"/>
      <c r="H86" s="285"/>
      <c r="I86" s="289"/>
      <c r="J86" s="293"/>
    </row>
    <row r="87" spans="1:14" ht="21" x14ac:dyDescent="0.2">
      <c r="A87" s="281" t="str">
        <f>IF(C87&lt;&gt;"",1+MAX($A$6:A86),"")</f>
        <v/>
      </c>
      <c r="B87" s="282" t="s">
        <v>333</v>
      </c>
      <c r="C87" s="283"/>
      <c r="D87" s="284"/>
      <c r="E87" s="285"/>
      <c r="F87" s="285"/>
      <c r="G87" s="285"/>
      <c r="H87" s="285"/>
      <c r="I87" s="289"/>
      <c r="J87" s="293"/>
    </row>
    <row r="88" spans="1:14" ht="21" x14ac:dyDescent="0.2">
      <c r="A88" s="281" t="str">
        <f>IF(C88&lt;&gt;"",1+MAX($A$6:A87),"")</f>
        <v/>
      </c>
      <c r="B88" s="288"/>
      <c r="C88" s="283"/>
      <c r="D88" s="284"/>
      <c r="E88" s="285"/>
      <c r="F88" s="285"/>
      <c r="G88" s="292"/>
      <c r="H88" s="292"/>
      <c r="I88" s="289"/>
      <c r="J88" s="293"/>
    </row>
    <row r="89" spans="1:14" ht="21" x14ac:dyDescent="0.2">
      <c r="A89" s="281">
        <f>IF(C89&lt;&gt;"",1+MAX($A$6:A88),"")</f>
        <v>62</v>
      </c>
      <c r="B89" s="288" t="s">
        <v>334</v>
      </c>
      <c r="C89" s="283">
        <v>1</v>
      </c>
      <c r="D89" s="290" t="s">
        <v>20</v>
      </c>
      <c r="E89" s="291">
        <v>0</v>
      </c>
      <c r="F89" s="291">
        <v>0</v>
      </c>
      <c r="G89" s="292">
        <f t="shared" ref="G89:G100" si="36">E89*C89</f>
        <v>0</v>
      </c>
      <c r="H89" s="292">
        <f t="shared" ref="H89:H100" si="37">F89*C89</f>
        <v>0</v>
      </c>
      <c r="I89" s="289">
        <f t="shared" ref="I89:I100" si="38">H89+G89</f>
        <v>0</v>
      </c>
      <c r="J89" s="293" t="s">
        <v>271</v>
      </c>
    </row>
    <row r="90" spans="1:14" ht="21" x14ac:dyDescent="0.2">
      <c r="A90" s="281">
        <f>IF(C90&lt;&gt;"",1+MAX($A$6:A89),"")</f>
        <v>63</v>
      </c>
      <c r="B90" s="288" t="s">
        <v>270</v>
      </c>
      <c r="C90" s="283">
        <v>42</v>
      </c>
      <c r="D90" s="290" t="s">
        <v>20</v>
      </c>
      <c r="E90" s="285">
        <f t="shared" ref="E90:F90" si="39">E$10</f>
        <v>0</v>
      </c>
      <c r="F90" s="285">
        <f t="shared" si="39"/>
        <v>0</v>
      </c>
      <c r="G90" s="292">
        <f t="shared" si="36"/>
        <v>0</v>
      </c>
      <c r="H90" s="292">
        <f t="shared" si="37"/>
        <v>0</v>
      </c>
      <c r="I90" s="289">
        <f t="shared" si="38"/>
        <v>0</v>
      </c>
      <c r="J90" s="293" t="s">
        <v>271</v>
      </c>
    </row>
    <row r="91" spans="1:14" ht="21" x14ac:dyDescent="0.2">
      <c r="A91" s="281">
        <f>IF(C91&lt;&gt;"",1+MAX($A$6:A90),"")</f>
        <v>64</v>
      </c>
      <c r="B91" s="288" t="s">
        <v>279</v>
      </c>
      <c r="C91" s="283">
        <v>1</v>
      </c>
      <c r="D91" s="290" t="s">
        <v>20</v>
      </c>
      <c r="E91" s="285">
        <f t="shared" ref="E91:F91" si="40">E$18</f>
        <v>0</v>
      </c>
      <c r="F91" s="285">
        <f t="shared" si="40"/>
        <v>0</v>
      </c>
      <c r="G91" s="292">
        <f t="shared" si="36"/>
        <v>0</v>
      </c>
      <c r="H91" s="292">
        <f t="shared" si="37"/>
        <v>0</v>
      </c>
      <c r="I91" s="289">
        <f t="shared" si="38"/>
        <v>0</v>
      </c>
      <c r="J91" s="293" t="s">
        <v>271</v>
      </c>
    </row>
    <row r="92" spans="1:14" ht="21" x14ac:dyDescent="0.2">
      <c r="A92" s="281">
        <f>IF(C92&lt;&gt;"",1+MAX($A$6:A91),"")</f>
        <v>65</v>
      </c>
      <c r="B92" s="288" t="s">
        <v>274</v>
      </c>
      <c r="C92" s="283">
        <v>29</v>
      </c>
      <c r="D92" s="290" t="s">
        <v>20</v>
      </c>
      <c r="E92" s="285">
        <f t="shared" ref="E92:F92" si="41">E$12</f>
        <v>0</v>
      </c>
      <c r="F92" s="285">
        <f t="shared" si="41"/>
        <v>0</v>
      </c>
      <c r="G92" s="292">
        <f t="shared" si="36"/>
        <v>0</v>
      </c>
      <c r="H92" s="292">
        <f t="shared" si="37"/>
        <v>0</v>
      </c>
      <c r="I92" s="289">
        <f t="shared" si="38"/>
        <v>0</v>
      </c>
      <c r="J92" s="293" t="s">
        <v>271</v>
      </c>
    </row>
    <row r="93" spans="1:14" ht="21" x14ac:dyDescent="0.2">
      <c r="A93" s="281">
        <f>IF(C93&lt;&gt;"",1+MAX($A$6:A92),"")</f>
        <v>66</v>
      </c>
      <c r="B93" s="288" t="s">
        <v>281</v>
      </c>
      <c r="C93" s="283">
        <v>1</v>
      </c>
      <c r="D93" s="290" t="s">
        <v>20</v>
      </c>
      <c r="E93" s="285">
        <f t="shared" ref="E93:F93" si="42">E$22</f>
        <v>0</v>
      </c>
      <c r="F93" s="285">
        <f t="shared" si="42"/>
        <v>0</v>
      </c>
      <c r="G93" s="292">
        <f t="shared" si="36"/>
        <v>0</v>
      </c>
      <c r="H93" s="292">
        <f t="shared" si="37"/>
        <v>0</v>
      </c>
      <c r="I93" s="289">
        <f t="shared" si="38"/>
        <v>0</v>
      </c>
      <c r="J93" s="293" t="s">
        <v>271</v>
      </c>
    </row>
    <row r="94" spans="1:14" ht="21" x14ac:dyDescent="0.2">
      <c r="A94" s="281">
        <f>IF(C94&lt;&gt;"",1+MAX($A$6:A93),"")</f>
        <v>67</v>
      </c>
      <c r="B94" s="288" t="s">
        <v>335</v>
      </c>
      <c r="C94" s="283">
        <v>7</v>
      </c>
      <c r="D94" s="284" t="s">
        <v>20</v>
      </c>
      <c r="E94" s="291">
        <v>0</v>
      </c>
      <c r="F94" s="291">
        <v>0</v>
      </c>
      <c r="G94" s="292">
        <f t="shared" si="36"/>
        <v>0</v>
      </c>
      <c r="H94" s="292">
        <f t="shared" si="37"/>
        <v>0</v>
      </c>
      <c r="I94" s="289">
        <f t="shared" si="38"/>
        <v>0</v>
      </c>
      <c r="J94" s="293" t="s">
        <v>273</v>
      </c>
    </row>
    <row r="95" spans="1:14" ht="21" x14ac:dyDescent="0.2">
      <c r="A95" s="281">
        <f>IF(C95&lt;&gt;"",1+MAX($A$6:A94),"")</f>
        <v>68</v>
      </c>
      <c r="B95" s="288" t="s">
        <v>288</v>
      </c>
      <c r="C95" s="283">
        <v>1714</v>
      </c>
      <c r="D95" s="284" t="s">
        <v>20</v>
      </c>
      <c r="E95" s="285">
        <f t="shared" ref="E95:F95" si="43">E$40</f>
        <v>0</v>
      </c>
      <c r="F95" s="285">
        <f t="shared" si="43"/>
        <v>0</v>
      </c>
      <c r="G95" s="292">
        <f t="shared" si="36"/>
        <v>0</v>
      </c>
      <c r="H95" s="292">
        <f t="shared" si="37"/>
        <v>0</v>
      </c>
      <c r="I95" s="289">
        <f t="shared" si="38"/>
        <v>0</v>
      </c>
      <c r="J95" s="293" t="s">
        <v>273</v>
      </c>
    </row>
    <row r="96" spans="1:14" ht="21" x14ac:dyDescent="0.2">
      <c r="A96" s="281">
        <f>IF(C96&lt;&gt;"",1+MAX($A$6:A95),"")</f>
        <v>69</v>
      </c>
      <c r="B96" s="288" t="s">
        <v>336</v>
      </c>
      <c r="C96" s="283">
        <v>35</v>
      </c>
      <c r="D96" s="284" t="s">
        <v>20</v>
      </c>
      <c r="E96" s="291">
        <v>0</v>
      </c>
      <c r="F96" s="291">
        <v>0</v>
      </c>
      <c r="G96" s="292">
        <f t="shared" si="36"/>
        <v>0</v>
      </c>
      <c r="H96" s="292">
        <f t="shared" si="37"/>
        <v>0</v>
      </c>
      <c r="I96" s="289">
        <f t="shared" si="38"/>
        <v>0</v>
      </c>
      <c r="J96" s="293" t="s">
        <v>273</v>
      </c>
    </row>
    <row r="97" spans="1:14" ht="21" x14ac:dyDescent="0.2">
      <c r="A97" s="281">
        <f>IF(C97&lt;&gt;"",1+MAX($A$6:A96),"")</f>
        <v>70</v>
      </c>
      <c r="B97" s="288" t="s">
        <v>289</v>
      </c>
      <c r="C97" s="283">
        <v>1</v>
      </c>
      <c r="D97" s="284" t="s">
        <v>20</v>
      </c>
      <c r="E97" s="285">
        <f t="shared" ref="E97:F97" si="44">E$41</f>
        <v>0</v>
      </c>
      <c r="F97" s="285">
        <f t="shared" si="44"/>
        <v>0</v>
      </c>
      <c r="G97" s="292">
        <f t="shared" si="36"/>
        <v>0</v>
      </c>
      <c r="H97" s="292">
        <f t="shared" si="37"/>
        <v>0</v>
      </c>
      <c r="I97" s="289">
        <f t="shared" si="38"/>
        <v>0</v>
      </c>
      <c r="J97" s="293" t="s">
        <v>275</v>
      </c>
    </row>
    <row r="98" spans="1:14" ht="21" x14ac:dyDescent="0.2">
      <c r="A98" s="281">
        <f>IF(C98&lt;&gt;"",1+MAX($A$6:A97),"")</f>
        <v>71</v>
      </c>
      <c r="B98" s="288" t="s">
        <v>274</v>
      </c>
      <c r="C98" s="283">
        <v>213</v>
      </c>
      <c r="D98" s="284" t="s">
        <v>20</v>
      </c>
      <c r="E98" s="285">
        <f t="shared" ref="E98:F98" si="45">E$12</f>
        <v>0</v>
      </c>
      <c r="F98" s="285">
        <f t="shared" si="45"/>
        <v>0</v>
      </c>
      <c r="G98" s="292">
        <f t="shared" si="36"/>
        <v>0</v>
      </c>
      <c r="H98" s="292">
        <f t="shared" si="37"/>
        <v>0</v>
      </c>
      <c r="I98" s="289">
        <f t="shared" si="38"/>
        <v>0</v>
      </c>
      <c r="J98" s="293" t="s">
        <v>275</v>
      </c>
    </row>
    <row r="99" spans="1:14" ht="21" x14ac:dyDescent="0.2">
      <c r="A99" s="281">
        <f>IF(C99&lt;&gt;"",1+MAX($A$6:A98),"")</f>
        <v>72</v>
      </c>
      <c r="B99" s="288" t="s">
        <v>281</v>
      </c>
      <c r="C99" s="283">
        <v>6</v>
      </c>
      <c r="D99" s="284" t="s">
        <v>20</v>
      </c>
      <c r="E99" s="285">
        <f t="shared" ref="E99:F99" si="46">E$22</f>
        <v>0</v>
      </c>
      <c r="F99" s="285">
        <f t="shared" si="46"/>
        <v>0</v>
      </c>
      <c r="G99" s="292">
        <f t="shared" si="36"/>
        <v>0</v>
      </c>
      <c r="H99" s="292">
        <f t="shared" si="37"/>
        <v>0</v>
      </c>
      <c r="I99" s="289">
        <f t="shared" si="38"/>
        <v>0</v>
      </c>
      <c r="J99" s="293" t="s">
        <v>275</v>
      </c>
    </row>
    <row r="100" spans="1:14" ht="21" x14ac:dyDescent="0.2">
      <c r="A100" s="281">
        <f>IF(C100&lt;&gt;"",1+MAX($A$6:A99),"")</f>
        <v>73</v>
      </c>
      <c r="B100" s="288" t="s">
        <v>276</v>
      </c>
      <c r="C100" s="283">
        <v>380</v>
      </c>
      <c r="D100" s="284" t="s">
        <v>20</v>
      </c>
      <c r="E100" s="285">
        <f t="shared" ref="E100:F100" si="47">E$13</f>
        <v>0</v>
      </c>
      <c r="F100" s="285">
        <f t="shared" si="47"/>
        <v>0</v>
      </c>
      <c r="G100" s="292">
        <f t="shared" si="36"/>
        <v>0</v>
      </c>
      <c r="H100" s="292">
        <f t="shared" si="37"/>
        <v>0</v>
      </c>
      <c r="I100" s="289">
        <f t="shared" si="38"/>
        <v>0</v>
      </c>
      <c r="J100" s="293" t="s">
        <v>277</v>
      </c>
    </row>
    <row r="101" spans="1:14" ht="21" x14ac:dyDescent="0.2">
      <c r="A101" s="281" t="str">
        <f>IF(C101&lt;&gt;"",1+MAX($A$6:A100),"")</f>
        <v/>
      </c>
      <c r="B101" s="295"/>
      <c r="C101" s="296"/>
      <c r="D101" s="284"/>
      <c r="E101" s="285"/>
      <c r="F101" s="285"/>
      <c r="G101" s="285"/>
      <c r="H101" s="285"/>
      <c r="I101" s="289"/>
      <c r="J101" s="293"/>
    </row>
    <row r="102" spans="1:14" ht="21" x14ac:dyDescent="0.2">
      <c r="A102" s="281" t="str">
        <f>IF(C102&lt;&gt;"",1+MAX($A$6:A101),"")</f>
        <v/>
      </c>
      <c r="B102" s="297" t="s">
        <v>337</v>
      </c>
      <c r="C102" s="296"/>
      <c r="D102" s="284"/>
      <c r="E102" s="285"/>
      <c r="F102" s="285"/>
      <c r="G102" s="285"/>
      <c r="H102" s="285"/>
      <c r="I102" s="289"/>
      <c r="J102" s="293"/>
    </row>
    <row r="103" spans="1:14" ht="21" x14ac:dyDescent="0.2">
      <c r="A103" s="281" t="str">
        <f>IF(C103&lt;&gt;"",1+MAX($A$6:A102),"")</f>
        <v/>
      </c>
      <c r="B103" s="288"/>
      <c r="C103" s="296"/>
      <c r="D103" s="284"/>
      <c r="E103" s="285"/>
      <c r="F103" s="285"/>
      <c r="G103" s="292"/>
      <c r="H103" s="292"/>
      <c r="I103" s="289"/>
      <c r="J103" s="293"/>
    </row>
    <row r="104" spans="1:14" ht="21" x14ac:dyDescent="0.2">
      <c r="A104" s="281">
        <f>IF(C104&lt;&gt;"",1+MAX($A$6:A103),"")</f>
        <v>74</v>
      </c>
      <c r="B104" s="288" t="s">
        <v>270</v>
      </c>
      <c r="C104" s="283">
        <v>30</v>
      </c>
      <c r="D104" s="290" t="s">
        <v>20</v>
      </c>
      <c r="E104" s="285">
        <f t="shared" ref="E104:F104" si="48">E$10</f>
        <v>0</v>
      </c>
      <c r="F104" s="285">
        <f t="shared" si="48"/>
        <v>0</v>
      </c>
      <c r="G104" s="292">
        <f t="shared" ref="G104:G112" si="49">E104*C104</f>
        <v>0</v>
      </c>
      <c r="H104" s="292">
        <f t="shared" ref="H104:H112" si="50">F104*C104</f>
        <v>0</v>
      </c>
      <c r="I104" s="289">
        <f t="shared" ref="I104:I112" si="51">H104+G104</f>
        <v>0</v>
      </c>
      <c r="J104" s="293" t="s">
        <v>271</v>
      </c>
    </row>
    <row r="105" spans="1:14" ht="21" x14ac:dyDescent="0.2">
      <c r="A105" s="281">
        <f>IF(C105&lt;&gt;"",1+MAX($A$6:A104),"")</f>
        <v>75</v>
      </c>
      <c r="B105" s="288" t="s">
        <v>279</v>
      </c>
      <c r="C105" s="283">
        <v>2</v>
      </c>
      <c r="D105" s="290" t="s">
        <v>20</v>
      </c>
      <c r="E105" s="285">
        <f t="shared" ref="E105:F105" si="52">E$18</f>
        <v>0</v>
      </c>
      <c r="F105" s="285">
        <f t="shared" si="52"/>
        <v>0</v>
      </c>
      <c r="G105" s="292">
        <f t="shared" si="49"/>
        <v>0</v>
      </c>
      <c r="H105" s="292">
        <f t="shared" si="50"/>
        <v>0</v>
      </c>
      <c r="I105" s="289">
        <f t="shared" si="51"/>
        <v>0</v>
      </c>
      <c r="J105" s="293" t="s">
        <v>271</v>
      </c>
    </row>
    <row r="106" spans="1:14" ht="21" x14ac:dyDescent="0.2">
      <c r="A106" s="281">
        <f>IF(C106&lt;&gt;"",1+MAX($A$6:A105),"")</f>
        <v>76</v>
      </c>
      <c r="B106" s="288" t="s">
        <v>274</v>
      </c>
      <c r="C106" s="283">
        <v>23</v>
      </c>
      <c r="D106" s="290" t="s">
        <v>20</v>
      </c>
      <c r="E106" s="285">
        <f t="shared" ref="E106:F106" si="53">E$12</f>
        <v>0</v>
      </c>
      <c r="F106" s="285">
        <f t="shared" si="53"/>
        <v>0</v>
      </c>
      <c r="G106" s="292">
        <f t="shared" si="49"/>
        <v>0</v>
      </c>
      <c r="H106" s="292">
        <f t="shared" si="50"/>
        <v>0</v>
      </c>
      <c r="I106" s="289">
        <f t="shared" si="51"/>
        <v>0</v>
      </c>
      <c r="J106" s="293" t="s">
        <v>271</v>
      </c>
    </row>
    <row r="107" spans="1:14" ht="21" x14ac:dyDescent="0.2">
      <c r="A107" s="281">
        <f>IF(C107&lt;&gt;"",1+MAX($A$6:A106),"")</f>
        <v>77</v>
      </c>
      <c r="B107" s="288" t="s">
        <v>281</v>
      </c>
      <c r="C107" s="283">
        <v>2</v>
      </c>
      <c r="D107" s="290" t="s">
        <v>20</v>
      </c>
      <c r="E107" s="285">
        <f t="shared" ref="E107:F107" si="54">E$22</f>
        <v>0</v>
      </c>
      <c r="F107" s="285">
        <f t="shared" si="54"/>
        <v>0</v>
      </c>
      <c r="G107" s="292">
        <f t="shared" si="49"/>
        <v>0</v>
      </c>
      <c r="H107" s="292">
        <f t="shared" si="50"/>
        <v>0</v>
      </c>
      <c r="I107" s="289">
        <f t="shared" si="51"/>
        <v>0</v>
      </c>
      <c r="J107" s="293" t="s">
        <v>271</v>
      </c>
    </row>
    <row r="108" spans="1:14" ht="21" x14ac:dyDescent="0.2">
      <c r="A108" s="281">
        <f>IF(C108&lt;&gt;"",1+MAX($A$6:A107),"")</f>
        <v>78</v>
      </c>
      <c r="B108" s="288" t="s">
        <v>288</v>
      </c>
      <c r="C108" s="283">
        <v>1172</v>
      </c>
      <c r="D108" s="284" t="s">
        <v>20</v>
      </c>
      <c r="E108" s="285">
        <f t="shared" ref="E108:F108" si="55">E$40</f>
        <v>0</v>
      </c>
      <c r="F108" s="285">
        <f t="shared" si="55"/>
        <v>0</v>
      </c>
      <c r="G108" s="292">
        <f t="shared" si="49"/>
        <v>0</v>
      </c>
      <c r="H108" s="292">
        <f t="shared" si="50"/>
        <v>0</v>
      </c>
      <c r="I108" s="289">
        <f t="shared" si="51"/>
        <v>0</v>
      </c>
      <c r="J108" s="293" t="s">
        <v>273</v>
      </c>
      <c r="N108" s="298"/>
    </row>
    <row r="109" spans="1:14" ht="21" x14ac:dyDescent="0.2">
      <c r="A109" s="281">
        <f>IF(C109&lt;&gt;"",1+MAX($A$6:A108),"")</f>
        <v>79</v>
      </c>
      <c r="B109" s="288" t="s">
        <v>336</v>
      </c>
      <c r="C109" s="283">
        <v>92</v>
      </c>
      <c r="D109" s="284" t="s">
        <v>20</v>
      </c>
      <c r="E109" s="285">
        <f t="shared" ref="E109:F109" si="56">E$96</f>
        <v>0</v>
      </c>
      <c r="F109" s="285">
        <f t="shared" si="56"/>
        <v>0</v>
      </c>
      <c r="G109" s="292">
        <f t="shared" si="49"/>
        <v>0</v>
      </c>
      <c r="H109" s="292">
        <f t="shared" si="50"/>
        <v>0</v>
      </c>
      <c r="I109" s="289">
        <f t="shared" si="51"/>
        <v>0</v>
      </c>
      <c r="J109" s="293" t="s">
        <v>273</v>
      </c>
      <c r="N109" s="298"/>
    </row>
    <row r="110" spans="1:14" ht="21" x14ac:dyDescent="0.2">
      <c r="A110" s="281">
        <f>IF(C110&lt;&gt;"",1+MAX($A$6:A109),"")</f>
        <v>80</v>
      </c>
      <c r="B110" s="288" t="s">
        <v>274</v>
      </c>
      <c r="C110" s="283">
        <v>159</v>
      </c>
      <c r="D110" s="284" t="s">
        <v>20</v>
      </c>
      <c r="E110" s="285">
        <f t="shared" ref="E110:F110" si="57">E$12</f>
        <v>0</v>
      </c>
      <c r="F110" s="285">
        <f t="shared" si="57"/>
        <v>0</v>
      </c>
      <c r="G110" s="292">
        <f t="shared" si="49"/>
        <v>0</v>
      </c>
      <c r="H110" s="292">
        <f t="shared" si="50"/>
        <v>0</v>
      </c>
      <c r="I110" s="289">
        <f t="shared" si="51"/>
        <v>0</v>
      </c>
      <c r="J110" s="293" t="s">
        <v>275</v>
      </c>
    </row>
    <row r="111" spans="1:14" ht="21" x14ac:dyDescent="0.2">
      <c r="A111" s="281">
        <f>IF(C111&lt;&gt;"",1+MAX($A$6:A110),"")</f>
        <v>81</v>
      </c>
      <c r="B111" s="288" t="s">
        <v>281</v>
      </c>
      <c r="C111" s="283">
        <v>12</v>
      </c>
      <c r="D111" s="284" t="s">
        <v>20</v>
      </c>
      <c r="E111" s="285">
        <f t="shared" ref="E111:F111" si="58">E$22</f>
        <v>0</v>
      </c>
      <c r="F111" s="285">
        <f t="shared" si="58"/>
        <v>0</v>
      </c>
      <c r="G111" s="292">
        <f t="shared" si="49"/>
        <v>0</v>
      </c>
      <c r="H111" s="292">
        <f t="shared" si="50"/>
        <v>0</v>
      </c>
      <c r="I111" s="289">
        <f t="shared" si="51"/>
        <v>0</v>
      </c>
      <c r="J111" s="293" t="s">
        <v>275</v>
      </c>
    </row>
    <row r="112" spans="1:14" ht="21" x14ac:dyDescent="0.2">
      <c r="A112" s="281">
        <f>IF(C112&lt;&gt;"",1+MAX($A$6:A111),"")</f>
        <v>82</v>
      </c>
      <c r="B112" s="288" t="s">
        <v>276</v>
      </c>
      <c r="C112" s="283">
        <v>253</v>
      </c>
      <c r="D112" s="284" t="s">
        <v>20</v>
      </c>
      <c r="E112" s="285">
        <f t="shared" ref="E112:F112" si="59">E$13</f>
        <v>0</v>
      </c>
      <c r="F112" s="285">
        <f t="shared" si="59"/>
        <v>0</v>
      </c>
      <c r="G112" s="292">
        <f t="shared" si="49"/>
        <v>0</v>
      </c>
      <c r="H112" s="292">
        <f t="shared" si="50"/>
        <v>0</v>
      </c>
      <c r="I112" s="289">
        <f t="shared" si="51"/>
        <v>0</v>
      </c>
      <c r="J112" s="293" t="s">
        <v>282</v>
      </c>
    </row>
    <row r="113" spans="1:14" ht="21" x14ac:dyDescent="0.2">
      <c r="A113" s="281" t="str">
        <f>IF(C113&lt;&gt;"",1+MAX($A$6:A112),"")</f>
        <v/>
      </c>
      <c r="B113" s="295"/>
      <c r="C113" s="296"/>
      <c r="D113" s="284"/>
      <c r="E113" s="285"/>
      <c r="F113" s="285"/>
      <c r="G113" s="292"/>
      <c r="H113" s="292"/>
      <c r="I113" s="289"/>
      <c r="J113" s="293"/>
    </row>
    <row r="114" spans="1:14" ht="21" x14ac:dyDescent="0.2">
      <c r="A114" s="281" t="str">
        <f>IF(C114&lt;&gt;"",1+MAX($A$6:A113),"")</f>
        <v/>
      </c>
      <c r="B114" s="299" t="s">
        <v>338</v>
      </c>
      <c r="C114" s="296"/>
      <c r="D114" s="284"/>
      <c r="E114" s="285"/>
      <c r="F114" s="285"/>
      <c r="G114" s="292"/>
      <c r="H114" s="292"/>
      <c r="I114" s="289"/>
      <c r="J114" s="293"/>
    </row>
    <row r="115" spans="1:14" ht="21" x14ac:dyDescent="0.2">
      <c r="A115" s="281" t="str">
        <f>IF(C115&lt;&gt;"",1+MAX($A$6:A114),"")</f>
        <v/>
      </c>
      <c r="B115" s="300"/>
      <c r="C115" s="296"/>
      <c r="D115" s="284"/>
      <c r="E115" s="285"/>
      <c r="F115" s="285"/>
      <c r="G115" s="292"/>
      <c r="H115" s="292"/>
      <c r="I115" s="289"/>
      <c r="J115" s="293"/>
    </row>
    <row r="116" spans="1:14" ht="21" x14ac:dyDescent="0.2">
      <c r="A116" s="281">
        <f>IF(C116&lt;&gt;"",1+MAX($A$6:A115),"")</f>
        <v>83</v>
      </c>
      <c r="B116" s="288" t="s">
        <v>270</v>
      </c>
      <c r="C116" s="283">
        <v>14</v>
      </c>
      <c r="D116" s="284" t="s">
        <v>20</v>
      </c>
      <c r="E116" s="285">
        <f t="shared" ref="E116:F116" si="60">E$10</f>
        <v>0</v>
      </c>
      <c r="F116" s="285">
        <f t="shared" si="60"/>
        <v>0</v>
      </c>
      <c r="G116" s="292">
        <f t="shared" ref="G116:G124" si="61">E116*C116</f>
        <v>0</v>
      </c>
      <c r="H116" s="292">
        <f t="shared" ref="H116:H124" si="62">F116*C116</f>
        <v>0</v>
      </c>
      <c r="I116" s="289">
        <f t="shared" ref="I116:I124" si="63">H116+G116</f>
        <v>0</v>
      </c>
      <c r="J116" s="293" t="s">
        <v>271</v>
      </c>
    </row>
    <row r="117" spans="1:14" ht="21" x14ac:dyDescent="0.2">
      <c r="A117" s="281">
        <f>IF(C117&lt;&gt;"",1+MAX($A$6:A116),"")</f>
        <v>84</v>
      </c>
      <c r="B117" s="288" t="s">
        <v>279</v>
      </c>
      <c r="C117" s="283">
        <v>5</v>
      </c>
      <c r="D117" s="284" t="s">
        <v>20</v>
      </c>
      <c r="E117" s="285">
        <f t="shared" ref="E117:F117" si="64">E$18</f>
        <v>0</v>
      </c>
      <c r="F117" s="285">
        <f t="shared" si="64"/>
        <v>0</v>
      </c>
      <c r="G117" s="292">
        <f t="shared" si="61"/>
        <v>0</v>
      </c>
      <c r="H117" s="292">
        <f t="shared" si="62"/>
        <v>0</v>
      </c>
      <c r="I117" s="289">
        <f t="shared" si="63"/>
        <v>0</v>
      </c>
      <c r="J117" s="293" t="s">
        <v>271</v>
      </c>
    </row>
    <row r="118" spans="1:14" ht="21" x14ac:dyDescent="0.2">
      <c r="A118" s="281">
        <f>IF(C118&lt;&gt;"",1+MAX($A$6:A117),"")</f>
        <v>85</v>
      </c>
      <c r="B118" s="288" t="s">
        <v>274</v>
      </c>
      <c r="C118" s="283">
        <v>12</v>
      </c>
      <c r="D118" s="284" t="s">
        <v>20</v>
      </c>
      <c r="E118" s="285">
        <f t="shared" ref="E118:F118" si="65">E$12</f>
        <v>0</v>
      </c>
      <c r="F118" s="285">
        <f t="shared" si="65"/>
        <v>0</v>
      </c>
      <c r="G118" s="292">
        <f t="shared" si="61"/>
        <v>0</v>
      </c>
      <c r="H118" s="292">
        <f t="shared" si="62"/>
        <v>0</v>
      </c>
      <c r="I118" s="289">
        <f t="shared" si="63"/>
        <v>0</v>
      </c>
      <c r="J118" s="293" t="s">
        <v>271</v>
      </c>
    </row>
    <row r="119" spans="1:14" ht="21" x14ac:dyDescent="0.2">
      <c r="A119" s="281">
        <f>IF(C119&lt;&gt;"",1+MAX($A$6:A118),"")</f>
        <v>86</v>
      </c>
      <c r="B119" s="288" t="s">
        <v>281</v>
      </c>
      <c r="C119" s="283">
        <v>2</v>
      </c>
      <c r="D119" s="284" t="s">
        <v>20</v>
      </c>
      <c r="E119" s="285">
        <f t="shared" ref="E119:F119" si="66">E$22</f>
        <v>0</v>
      </c>
      <c r="F119" s="285">
        <f t="shared" si="66"/>
        <v>0</v>
      </c>
      <c r="G119" s="292">
        <f t="shared" si="61"/>
        <v>0</v>
      </c>
      <c r="H119" s="292">
        <f t="shared" si="62"/>
        <v>0</v>
      </c>
      <c r="I119" s="289">
        <f t="shared" si="63"/>
        <v>0</v>
      </c>
      <c r="J119" s="293" t="s">
        <v>271</v>
      </c>
    </row>
    <row r="120" spans="1:14" ht="21" x14ac:dyDescent="0.2">
      <c r="A120" s="281">
        <f>IF(C120&lt;&gt;"",1+MAX($A$6:A119),"")</f>
        <v>87</v>
      </c>
      <c r="B120" s="288" t="s">
        <v>288</v>
      </c>
      <c r="C120" s="283">
        <v>528</v>
      </c>
      <c r="D120" s="284" t="s">
        <v>20</v>
      </c>
      <c r="E120" s="285">
        <f t="shared" ref="E120:F120" si="67">E$40</f>
        <v>0</v>
      </c>
      <c r="F120" s="285">
        <f t="shared" si="67"/>
        <v>0</v>
      </c>
      <c r="G120" s="292">
        <f t="shared" si="61"/>
        <v>0</v>
      </c>
      <c r="H120" s="292">
        <f t="shared" si="62"/>
        <v>0</v>
      </c>
      <c r="I120" s="289">
        <f t="shared" si="63"/>
        <v>0</v>
      </c>
      <c r="J120" s="293" t="s">
        <v>273</v>
      </c>
    </row>
    <row r="121" spans="1:14" ht="21" x14ac:dyDescent="0.2">
      <c r="A121" s="281">
        <f>IF(C121&lt;&gt;"",1+MAX($A$6:A120),"")</f>
        <v>88</v>
      </c>
      <c r="B121" s="288" t="s">
        <v>336</v>
      </c>
      <c r="C121" s="283">
        <v>68</v>
      </c>
      <c r="D121" s="284" t="s">
        <v>20</v>
      </c>
      <c r="E121" s="285">
        <f t="shared" ref="E121:F121" si="68">E$96</f>
        <v>0</v>
      </c>
      <c r="F121" s="285">
        <f t="shared" si="68"/>
        <v>0</v>
      </c>
      <c r="G121" s="292">
        <f t="shared" si="61"/>
        <v>0</v>
      </c>
      <c r="H121" s="292">
        <f t="shared" si="62"/>
        <v>0</v>
      </c>
      <c r="I121" s="289">
        <f t="shared" si="63"/>
        <v>0</v>
      </c>
      <c r="J121" s="293" t="s">
        <v>273</v>
      </c>
      <c r="N121" s="298"/>
    </row>
    <row r="122" spans="1:14" ht="21" x14ac:dyDescent="0.2">
      <c r="A122" s="281">
        <f>IF(C122&lt;&gt;"",1+MAX($A$6:A121),"")</f>
        <v>89</v>
      </c>
      <c r="B122" s="288" t="s">
        <v>274</v>
      </c>
      <c r="C122" s="283">
        <v>78</v>
      </c>
      <c r="D122" s="284" t="s">
        <v>20</v>
      </c>
      <c r="E122" s="285">
        <f t="shared" ref="E122:F122" si="69">E$12</f>
        <v>0</v>
      </c>
      <c r="F122" s="285">
        <f t="shared" si="69"/>
        <v>0</v>
      </c>
      <c r="G122" s="292">
        <f t="shared" si="61"/>
        <v>0</v>
      </c>
      <c r="H122" s="292">
        <f t="shared" si="62"/>
        <v>0</v>
      </c>
      <c r="I122" s="289">
        <f t="shared" si="63"/>
        <v>0</v>
      </c>
      <c r="J122" s="293" t="s">
        <v>284</v>
      </c>
      <c r="N122" s="298"/>
    </row>
    <row r="123" spans="1:14" ht="21" x14ac:dyDescent="0.2">
      <c r="A123" s="281">
        <f>IF(C123&lt;&gt;"",1+MAX($A$6:A122),"")</f>
        <v>90</v>
      </c>
      <c r="B123" s="288" t="s">
        <v>281</v>
      </c>
      <c r="C123" s="283">
        <v>21</v>
      </c>
      <c r="D123" s="284" t="s">
        <v>20</v>
      </c>
      <c r="E123" s="285">
        <f t="shared" ref="E123:F123" si="70">E$22</f>
        <v>0</v>
      </c>
      <c r="F123" s="285">
        <f t="shared" si="70"/>
        <v>0</v>
      </c>
      <c r="G123" s="292">
        <f t="shared" si="61"/>
        <v>0</v>
      </c>
      <c r="H123" s="292">
        <f t="shared" si="62"/>
        <v>0</v>
      </c>
      <c r="I123" s="289">
        <f t="shared" si="63"/>
        <v>0</v>
      </c>
      <c r="J123" s="293" t="s">
        <v>284</v>
      </c>
      <c r="N123" s="298"/>
    </row>
    <row r="124" spans="1:14" ht="22.5" customHeight="1" x14ac:dyDescent="0.2">
      <c r="A124" s="281">
        <f>IF(C124&lt;&gt;"",1+MAX($A$6:A123),"")</f>
        <v>91</v>
      </c>
      <c r="B124" s="288" t="s">
        <v>276</v>
      </c>
      <c r="C124" s="283">
        <v>135</v>
      </c>
      <c r="D124" s="284" t="s">
        <v>20</v>
      </c>
      <c r="E124" s="285">
        <f t="shared" ref="E124:F124" si="71">E$13</f>
        <v>0</v>
      </c>
      <c r="F124" s="285">
        <f t="shared" si="71"/>
        <v>0</v>
      </c>
      <c r="G124" s="292">
        <f t="shared" si="61"/>
        <v>0</v>
      </c>
      <c r="H124" s="292">
        <f t="shared" si="62"/>
        <v>0</v>
      </c>
      <c r="I124" s="289">
        <f t="shared" si="63"/>
        <v>0</v>
      </c>
      <c r="J124" s="293" t="s">
        <v>339</v>
      </c>
    </row>
    <row r="125" spans="1:14" ht="22.5" customHeight="1" x14ac:dyDescent="0.2">
      <c r="A125" s="281" t="str">
        <f>IF(C125&lt;&gt;"",1+MAX($A$6:A124),"")</f>
        <v/>
      </c>
      <c r="B125" s="288"/>
      <c r="C125" s="296"/>
      <c r="D125" s="284"/>
      <c r="E125" s="285"/>
      <c r="F125" s="285"/>
      <c r="G125" s="292"/>
      <c r="H125" s="292"/>
      <c r="I125" s="289"/>
      <c r="J125" s="293"/>
    </row>
    <row r="126" spans="1:14" ht="21" x14ac:dyDescent="0.2">
      <c r="A126" s="281" t="str">
        <f>IF(C126&lt;&gt;"",1+MAX($A$6:A125),"")</f>
        <v/>
      </c>
      <c r="B126" s="282" t="s">
        <v>340</v>
      </c>
      <c r="C126" s="296"/>
      <c r="D126" s="284"/>
      <c r="E126" s="304"/>
      <c r="F126" s="304"/>
      <c r="G126" s="304"/>
      <c r="H126" s="304"/>
      <c r="I126" s="305"/>
      <c r="J126" s="293"/>
    </row>
    <row r="127" spans="1:14" ht="21" x14ac:dyDescent="0.2">
      <c r="A127" s="281" t="str">
        <f>IF(C127&lt;&gt;"",1+MAX($A$6:A126),"")</f>
        <v/>
      </c>
      <c r="B127" s="288"/>
      <c r="C127" s="296"/>
      <c r="D127" s="284"/>
      <c r="E127" s="285"/>
      <c r="F127" s="285"/>
      <c r="G127" s="285"/>
      <c r="H127" s="285"/>
      <c r="I127" s="286"/>
      <c r="J127" s="293"/>
    </row>
    <row r="128" spans="1:14" ht="22.5" customHeight="1" x14ac:dyDescent="0.2">
      <c r="A128" s="281">
        <f>IF(C128&lt;&gt;"",1+MAX($A$6:A127),"")</f>
        <v>92</v>
      </c>
      <c r="B128" s="288" t="s">
        <v>286</v>
      </c>
      <c r="C128" s="283">
        <v>73</v>
      </c>
      <c r="D128" s="284" t="s">
        <v>20</v>
      </c>
      <c r="E128" s="285">
        <f t="shared" ref="E128:F128" si="72">E$37</f>
        <v>0</v>
      </c>
      <c r="F128" s="285">
        <f t="shared" si="72"/>
        <v>0</v>
      </c>
      <c r="G128" s="292">
        <f t="shared" ref="G128:G142" si="73">E128*C128</f>
        <v>0</v>
      </c>
      <c r="H128" s="292">
        <f t="shared" ref="H128:H142" si="74">F128*C128</f>
        <v>0</v>
      </c>
      <c r="I128" s="289">
        <f t="shared" ref="I128:I142" si="75">H128+G128</f>
        <v>0</v>
      </c>
      <c r="J128" s="293" t="s">
        <v>271</v>
      </c>
    </row>
    <row r="129" spans="1:10" ht="22.5" customHeight="1" x14ac:dyDescent="0.2">
      <c r="A129" s="281">
        <f>IF(C129&lt;&gt;"",1+MAX($A$6:A128),"")</f>
        <v>93</v>
      </c>
      <c r="B129" s="288" t="s">
        <v>270</v>
      </c>
      <c r="C129" s="283">
        <v>9</v>
      </c>
      <c r="D129" s="284" t="s">
        <v>20</v>
      </c>
      <c r="E129" s="285">
        <f t="shared" ref="E129:F129" si="76">E$10</f>
        <v>0</v>
      </c>
      <c r="F129" s="285">
        <f t="shared" si="76"/>
        <v>0</v>
      </c>
      <c r="G129" s="292">
        <f t="shared" si="73"/>
        <v>0</v>
      </c>
      <c r="H129" s="292">
        <f t="shared" si="74"/>
        <v>0</v>
      </c>
      <c r="I129" s="289">
        <f t="shared" si="75"/>
        <v>0</v>
      </c>
      <c r="J129" s="293" t="s">
        <v>271</v>
      </c>
    </row>
    <row r="130" spans="1:10" ht="22.5" customHeight="1" x14ac:dyDescent="0.2">
      <c r="A130" s="281">
        <f>IF(C130&lt;&gt;"",1+MAX($A$6:A129),"")</f>
        <v>94</v>
      </c>
      <c r="B130" s="288" t="s">
        <v>279</v>
      </c>
      <c r="C130" s="283">
        <v>1</v>
      </c>
      <c r="D130" s="284" t="s">
        <v>20</v>
      </c>
      <c r="E130" s="285">
        <f t="shared" ref="E130:F130" si="77">E$18</f>
        <v>0</v>
      </c>
      <c r="F130" s="285">
        <f t="shared" si="77"/>
        <v>0</v>
      </c>
      <c r="G130" s="292">
        <f t="shared" si="73"/>
        <v>0</v>
      </c>
      <c r="H130" s="292">
        <f t="shared" si="74"/>
        <v>0</v>
      </c>
      <c r="I130" s="289">
        <f t="shared" si="75"/>
        <v>0</v>
      </c>
      <c r="J130" s="293" t="s">
        <v>271</v>
      </c>
    </row>
    <row r="131" spans="1:10" ht="21" x14ac:dyDescent="0.2">
      <c r="A131" s="281">
        <f>IF(C131&lt;&gt;"",1+MAX($A$6:A130),"")</f>
        <v>95</v>
      </c>
      <c r="B131" s="288" t="s">
        <v>289</v>
      </c>
      <c r="C131" s="283">
        <v>19</v>
      </c>
      <c r="D131" s="284" t="s">
        <v>20</v>
      </c>
      <c r="E131" s="285">
        <f t="shared" ref="E131:F131" si="78">E$41</f>
        <v>0</v>
      </c>
      <c r="F131" s="285">
        <f t="shared" si="78"/>
        <v>0</v>
      </c>
      <c r="G131" s="292">
        <f t="shared" si="73"/>
        <v>0</v>
      </c>
      <c r="H131" s="292">
        <f t="shared" si="74"/>
        <v>0</v>
      </c>
      <c r="I131" s="289">
        <f t="shared" si="75"/>
        <v>0</v>
      </c>
      <c r="J131" s="293" t="s">
        <v>271</v>
      </c>
    </row>
    <row r="132" spans="1:10" ht="21" x14ac:dyDescent="0.2">
      <c r="A132" s="281">
        <f>IF(C132&lt;&gt;"",1+MAX($A$6:A131),"")</f>
        <v>96</v>
      </c>
      <c r="B132" s="288" t="s">
        <v>341</v>
      </c>
      <c r="C132" s="283">
        <v>2</v>
      </c>
      <c r="D132" s="284" t="s">
        <v>20</v>
      </c>
      <c r="E132" s="291">
        <v>0</v>
      </c>
      <c r="F132" s="291">
        <v>0</v>
      </c>
      <c r="G132" s="292">
        <f t="shared" si="73"/>
        <v>0</v>
      </c>
      <c r="H132" s="292">
        <f t="shared" si="74"/>
        <v>0</v>
      </c>
      <c r="I132" s="289">
        <f t="shared" si="75"/>
        <v>0</v>
      </c>
      <c r="J132" s="293" t="s">
        <v>271</v>
      </c>
    </row>
    <row r="133" spans="1:10" ht="22.5" customHeight="1" x14ac:dyDescent="0.2">
      <c r="A133" s="281">
        <f>IF(C133&lt;&gt;"",1+MAX($A$6:A132),"")</f>
        <v>97</v>
      </c>
      <c r="B133" s="288" t="s">
        <v>274</v>
      </c>
      <c r="C133" s="283">
        <v>5</v>
      </c>
      <c r="D133" s="284" t="s">
        <v>20</v>
      </c>
      <c r="E133" s="285">
        <f t="shared" ref="E133:F133" si="79">E$12</f>
        <v>0</v>
      </c>
      <c r="F133" s="285">
        <f t="shared" si="79"/>
        <v>0</v>
      </c>
      <c r="G133" s="292">
        <f t="shared" si="73"/>
        <v>0</v>
      </c>
      <c r="H133" s="292">
        <f t="shared" si="74"/>
        <v>0</v>
      </c>
      <c r="I133" s="289">
        <f t="shared" si="75"/>
        <v>0</v>
      </c>
      <c r="J133" s="293" t="s">
        <v>271</v>
      </c>
    </row>
    <row r="134" spans="1:10" ht="22.5" customHeight="1" x14ac:dyDescent="0.2">
      <c r="A134" s="281">
        <f>IF(C134&lt;&gt;"",1+MAX($A$6:A133),"")</f>
        <v>98</v>
      </c>
      <c r="B134" s="288" t="s">
        <v>281</v>
      </c>
      <c r="C134" s="283">
        <v>1</v>
      </c>
      <c r="D134" s="284" t="s">
        <v>20</v>
      </c>
      <c r="E134" s="285">
        <f t="shared" ref="E134:F134" si="80">E$22</f>
        <v>0</v>
      </c>
      <c r="F134" s="285">
        <f t="shared" si="80"/>
        <v>0</v>
      </c>
      <c r="G134" s="292">
        <f t="shared" si="73"/>
        <v>0</v>
      </c>
      <c r="H134" s="292">
        <f t="shared" si="74"/>
        <v>0</v>
      </c>
      <c r="I134" s="289">
        <f t="shared" si="75"/>
        <v>0</v>
      </c>
      <c r="J134" s="293" t="s">
        <v>271</v>
      </c>
    </row>
    <row r="135" spans="1:10" ht="22.5" customHeight="1" x14ac:dyDescent="0.2">
      <c r="A135" s="281">
        <f>IF(C135&lt;&gt;"",1+MAX($A$6:A134),"")</f>
        <v>99</v>
      </c>
      <c r="B135" s="288" t="s">
        <v>335</v>
      </c>
      <c r="C135" s="283">
        <v>456</v>
      </c>
      <c r="D135" s="284" t="s">
        <v>20</v>
      </c>
      <c r="E135" s="285">
        <f t="shared" ref="E135:F135" si="81">E$94</f>
        <v>0</v>
      </c>
      <c r="F135" s="285">
        <f t="shared" si="81"/>
        <v>0</v>
      </c>
      <c r="G135" s="292">
        <f t="shared" si="73"/>
        <v>0</v>
      </c>
      <c r="H135" s="292">
        <f t="shared" si="74"/>
        <v>0</v>
      </c>
      <c r="I135" s="289">
        <f t="shared" si="75"/>
        <v>0</v>
      </c>
      <c r="J135" s="293" t="s">
        <v>273</v>
      </c>
    </row>
    <row r="136" spans="1:10" ht="22.5" customHeight="1" x14ac:dyDescent="0.2">
      <c r="A136" s="281">
        <f>IF(C136&lt;&gt;"",1+MAX($A$6:A135),"")</f>
        <v>100</v>
      </c>
      <c r="B136" s="288" t="s">
        <v>287</v>
      </c>
      <c r="C136" s="283">
        <v>1850</v>
      </c>
      <c r="D136" s="284" t="s">
        <v>20</v>
      </c>
      <c r="E136" s="285">
        <f t="shared" ref="E136:F136" si="82">E$39</f>
        <v>0</v>
      </c>
      <c r="F136" s="285">
        <f t="shared" si="82"/>
        <v>0</v>
      </c>
      <c r="G136" s="292">
        <f t="shared" si="73"/>
        <v>0</v>
      </c>
      <c r="H136" s="292">
        <f t="shared" si="74"/>
        <v>0</v>
      </c>
      <c r="I136" s="289">
        <f t="shared" si="75"/>
        <v>0</v>
      </c>
      <c r="J136" s="293" t="s">
        <v>273</v>
      </c>
    </row>
    <row r="137" spans="1:10" ht="22.5" customHeight="1" x14ac:dyDescent="0.2">
      <c r="A137" s="281">
        <f>IF(C137&lt;&gt;"",1+MAX($A$6:A136),"")</f>
        <v>101</v>
      </c>
      <c r="B137" s="288" t="s">
        <v>288</v>
      </c>
      <c r="C137" s="283">
        <v>321</v>
      </c>
      <c r="D137" s="284" t="s">
        <v>20</v>
      </c>
      <c r="E137" s="285">
        <f t="shared" ref="E137:F137" si="83">E$40</f>
        <v>0</v>
      </c>
      <c r="F137" s="285">
        <f t="shared" si="83"/>
        <v>0</v>
      </c>
      <c r="G137" s="292">
        <f t="shared" si="73"/>
        <v>0</v>
      </c>
      <c r="H137" s="292">
        <f t="shared" si="74"/>
        <v>0</v>
      </c>
      <c r="I137" s="289">
        <f t="shared" si="75"/>
        <v>0</v>
      </c>
      <c r="J137" s="293" t="s">
        <v>273</v>
      </c>
    </row>
    <row r="138" spans="1:10" ht="22.5" customHeight="1" x14ac:dyDescent="0.2">
      <c r="A138" s="281">
        <f>IF(C138&lt;&gt;"",1+MAX($A$6:A137),"")</f>
        <v>102</v>
      </c>
      <c r="B138" s="288" t="s">
        <v>336</v>
      </c>
      <c r="C138" s="283">
        <v>44</v>
      </c>
      <c r="D138" s="284" t="s">
        <v>20</v>
      </c>
      <c r="E138" s="285">
        <f t="shared" ref="E138:F138" si="84">E$96</f>
        <v>0</v>
      </c>
      <c r="F138" s="285">
        <f t="shared" si="84"/>
        <v>0</v>
      </c>
      <c r="G138" s="292">
        <f t="shared" si="73"/>
        <v>0</v>
      </c>
      <c r="H138" s="292">
        <f t="shared" si="74"/>
        <v>0</v>
      </c>
      <c r="I138" s="289">
        <f t="shared" si="75"/>
        <v>0</v>
      </c>
      <c r="J138" s="293" t="s">
        <v>273</v>
      </c>
    </row>
    <row r="139" spans="1:10" ht="22.5" customHeight="1" x14ac:dyDescent="0.2">
      <c r="A139" s="281">
        <f>IF(C139&lt;&gt;"",1+MAX($A$6:A138),"")</f>
        <v>103</v>
      </c>
      <c r="B139" s="288" t="s">
        <v>289</v>
      </c>
      <c r="C139" s="283">
        <v>282</v>
      </c>
      <c r="D139" s="290" t="s">
        <v>20</v>
      </c>
      <c r="E139" s="285">
        <f t="shared" ref="E139:F139" si="85">E$41</f>
        <v>0</v>
      </c>
      <c r="F139" s="285">
        <f t="shared" si="85"/>
        <v>0</v>
      </c>
      <c r="G139" s="292">
        <f t="shared" si="73"/>
        <v>0</v>
      </c>
      <c r="H139" s="292">
        <f t="shared" si="74"/>
        <v>0</v>
      </c>
      <c r="I139" s="289">
        <f t="shared" si="75"/>
        <v>0</v>
      </c>
      <c r="J139" s="293" t="s">
        <v>275</v>
      </c>
    </row>
    <row r="140" spans="1:10" ht="22.5" customHeight="1" x14ac:dyDescent="0.2">
      <c r="A140" s="281">
        <f>IF(C140&lt;&gt;"",1+MAX($A$6:A139),"")</f>
        <v>104</v>
      </c>
      <c r="B140" s="288" t="s">
        <v>274</v>
      </c>
      <c r="C140" s="283">
        <v>42</v>
      </c>
      <c r="D140" s="290" t="s">
        <v>20</v>
      </c>
      <c r="E140" s="285">
        <f t="shared" ref="E140:F140" si="86">E$12</f>
        <v>0</v>
      </c>
      <c r="F140" s="285">
        <f t="shared" si="86"/>
        <v>0</v>
      </c>
      <c r="G140" s="292">
        <f t="shared" si="73"/>
        <v>0</v>
      </c>
      <c r="H140" s="292">
        <f t="shared" si="74"/>
        <v>0</v>
      </c>
      <c r="I140" s="289">
        <f t="shared" si="75"/>
        <v>0</v>
      </c>
      <c r="J140" s="293" t="s">
        <v>275</v>
      </c>
    </row>
    <row r="141" spans="1:10" ht="22.5" customHeight="1" x14ac:dyDescent="0.2">
      <c r="A141" s="281">
        <f>IF(C141&lt;&gt;"",1+MAX($A$6:A140),"")</f>
        <v>105</v>
      </c>
      <c r="B141" s="288" t="s">
        <v>281</v>
      </c>
      <c r="C141" s="283">
        <v>6</v>
      </c>
      <c r="D141" s="290" t="s">
        <v>20</v>
      </c>
      <c r="E141" s="285">
        <f t="shared" ref="E141:F141" si="87">E$22</f>
        <v>0</v>
      </c>
      <c r="F141" s="285">
        <f t="shared" si="87"/>
        <v>0</v>
      </c>
      <c r="G141" s="292">
        <f t="shared" si="73"/>
        <v>0</v>
      </c>
      <c r="H141" s="292">
        <f t="shared" si="74"/>
        <v>0</v>
      </c>
      <c r="I141" s="289">
        <f t="shared" si="75"/>
        <v>0</v>
      </c>
      <c r="J141" s="293" t="s">
        <v>275</v>
      </c>
    </row>
    <row r="142" spans="1:10" ht="21" x14ac:dyDescent="0.2">
      <c r="A142" s="281">
        <f>IF(C142&lt;&gt;"",1+MAX($A$6:A141),"")</f>
        <v>106</v>
      </c>
      <c r="B142" s="288" t="s">
        <v>276</v>
      </c>
      <c r="C142" s="283">
        <v>37</v>
      </c>
      <c r="D142" s="284" t="s">
        <v>20</v>
      </c>
      <c r="E142" s="285">
        <f t="shared" ref="E142:F142" si="88">E$13</f>
        <v>0</v>
      </c>
      <c r="F142" s="285">
        <f t="shared" si="88"/>
        <v>0</v>
      </c>
      <c r="G142" s="292">
        <f t="shared" si="73"/>
        <v>0</v>
      </c>
      <c r="H142" s="292">
        <f t="shared" si="74"/>
        <v>0</v>
      </c>
      <c r="I142" s="289">
        <f t="shared" si="75"/>
        <v>0</v>
      </c>
      <c r="J142" s="293" t="s">
        <v>282</v>
      </c>
    </row>
    <row r="143" spans="1:10" ht="21" x14ac:dyDescent="0.2">
      <c r="A143" s="281" t="str">
        <f>IF(C143&lt;&gt;"",1+MAX($A$6:A142),"")</f>
        <v/>
      </c>
      <c r="B143" s="301"/>
      <c r="C143" s="302"/>
      <c r="D143" s="303"/>
      <c r="E143" s="285"/>
      <c r="F143" s="285"/>
      <c r="G143" s="285"/>
      <c r="H143" s="285"/>
      <c r="I143" s="289"/>
      <c r="J143" s="293"/>
    </row>
    <row r="144" spans="1:10" ht="21" x14ac:dyDescent="0.2">
      <c r="A144" s="281" t="str">
        <f>IF(C144&lt;&gt;"",1+MAX($A$6:A143),"")</f>
        <v/>
      </c>
      <c r="B144" s="282" t="s">
        <v>342</v>
      </c>
      <c r="C144" s="283"/>
      <c r="D144" s="284"/>
      <c r="E144" s="285"/>
      <c r="F144" s="285"/>
      <c r="G144" s="285"/>
      <c r="H144" s="285"/>
      <c r="I144" s="289"/>
      <c r="J144" s="293"/>
    </row>
    <row r="145" spans="1:10" ht="21" x14ac:dyDescent="0.2">
      <c r="A145" s="281" t="str">
        <f>IF(C145&lt;&gt;"",1+MAX($A$6:A144),"")</f>
        <v/>
      </c>
      <c r="B145" s="288"/>
      <c r="C145" s="283"/>
      <c r="D145" s="284"/>
      <c r="E145" s="285"/>
      <c r="F145" s="285"/>
      <c r="G145" s="292"/>
      <c r="H145" s="292"/>
      <c r="I145" s="289"/>
      <c r="J145" s="293"/>
    </row>
    <row r="146" spans="1:10" ht="21" x14ac:dyDescent="0.2">
      <c r="A146" s="281">
        <f>IF(C146&lt;&gt;"",1+MAX($A$6:A145),"")</f>
        <v>107</v>
      </c>
      <c r="B146" s="288" t="s">
        <v>274</v>
      </c>
      <c r="C146" s="283">
        <v>11</v>
      </c>
      <c r="D146" s="290" t="s">
        <v>20</v>
      </c>
      <c r="E146" s="285">
        <f t="shared" ref="E146:F146" si="89">E$12</f>
        <v>0</v>
      </c>
      <c r="F146" s="285">
        <f t="shared" si="89"/>
        <v>0</v>
      </c>
      <c r="G146" s="292">
        <f t="shared" ref="G146:G149" si="90">E146*C146</f>
        <v>0</v>
      </c>
      <c r="H146" s="292">
        <f t="shared" ref="H146:H149" si="91">F146*C146</f>
        <v>0</v>
      </c>
      <c r="I146" s="289">
        <f t="shared" ref="I146:I149" si="92">H146+G146</f>
        <v>0</v>
      </c>
      <c r="J146" s="293" t="s">
        <v>271</v>
      </c>
    </row>
    <row r="147" spans="1:10" ht="21" x14ac:dyDescent="0.2">
      <c r="A147" s="281">
        <f>IF(C147&lt;&gt;"",1+MAX($A$6:A146),"")</f>
        <v>108</v>
      </c>
      <c r="B147" s="288" t="s">
        <v>343</v>
      </c>
      <c r="C147" s="283">
        <v>107</v>
      </c>
      <c r="D147" s="284" t="s">
        <v>20</v>
      </c>
      <c r="E147" s="291">
        <v>0</v>
      </c>
      <c r="F147" s="291">
        <v>0</v>
      </c>
      <c r="G147" s="292">
        <f t="shared" si="90"/>
        <v>0</v>
      </c>
      <c r="H147" s="292">
        <f t="shared" si="91"/>
        <v>0</v>
      </c>
      <c r="I147" s="289">
        <f t="shared" si="92"/>
        <v>0</v>
      </c>
      <c r="J147" s="293" t="s">
        <v>273</v>
      </c>
    </row>
    <row r="148" spans="1:10" ht="21" x14ac:dyDescent="0.2">
      <c r="A148" s="281">
        <f>IF(C148&lt;&gt;"",1+MAX($A$6:A147),"")</f>
        <v>109</v>
      </c>
      <c r="B148" s="288" t="s">
        <v>274</v>
      </c>
      <c r="C148" s="283">
        <v>22</v>
      </c>
      <c r="D148" s="284" t="s">
        <v>20</v>
      </c>
      <c r="E148" s="285">
        <f t="shared" ref="E148:F148" si="93">E$12</f>
        <v>0</v>
      </c>
      <c r="F148" s="285">
        <f t="shared" si="93"/>
        <v>0</v>
      </c>
      <c r="G148" s="292">
        <f t="shared" si="90"/>
        <v>0</v>
      </c>
      <c r="H148" s="292">
        <f t="shared" si="91"/>
        <v>0</v>
      </c>
      <c r="I148" s="289">
        <f t="shared" si="92"/>
        <v>0</v>
      </c>
      <c r="J148" s="293" t="s">
        <v>275</v>
      </c>
    </row>
    <row r="149" spans="1:10" ht="21" x14ac:dyDescent="0.2">
      <c r="A149" s="281">
        <f>IF(C149&lt;&gt;"",1+MAX($A$6:A148),"")</f>
        <v>110</v>
      </c>
      <c r="B149" s="288" t="s">
        <v>276</v>
      </c>
      <c r="C149" s="283">
        <v>55</v>
      </c>
      <c r="D149" s="284" t="s">
        <v>20</v>
      </c>
      <c r="E149" s="285">
        <f t="shared" ref="E149:F149" si="94">E$13</f>
        <v>0</v>
      </c>
      <c r="F149" s="285">
        <f t="shared" si="94"/>
        <v>0</v>
      </c>
      <c r="G149" s="292">
        <f t="shared" si="90"/>
        <v>0</v>
      </c>
      <c r="H149" s="292">
        <f t="shared" si="91"/>
        <v>0</v>
      </c>
      <c r="I149" s="289">
        <f t="shared" si="92"/>
        <v>0</v>
      </c>
      <c r="J149" s="293" t="s">
        <v>277</v>
      </c>
    </row>
    <row r="150" spans="1:10" ht="21" x14ac:dyDescent="0.2">
      <c r="A150" s="281" t="str">
        <f>IF(C150&lt;&gt;"",1+MAX($A$6:A149),"")</f>
        <v/>
      </c>
      <c r="B150" s="288"/>
      <c r="C150" s="296"/>
      <c r="D150" s="284"/>
      <c r="E150" s="285"/>
      <c r="F150" s="285"/>
      <c r="G150" s="285"/>
      <c r="H150" s="285"/>
      <c r="I150" s="289"/>
      <c r="J150" s="293"/>
    </row>
    <row r="151" spans="1:10" ht="21" x14ac:dyDescent="0.2">
      <c r="A151" s="281" t="str">
        <f>IF(C151&lt;&gt;"",1+MAX($A$6:A150),"")</f>
        <v/>
      </c>
      <c r="B151" s="282" t="s">
        <v>344</v>
      </c>
      <c r="C151" s="296"/>
      <c r="D151" s="284"/>
      <c r="E151" s="285"/>
      <c r="F151" s="285"/>
      <c r="G151" s="292"/>
      <c r="H151" s="292"/>
      <c r="I151" s="289"/>
      <c r="J151" s="293"/>
    </row>
    <row r="152" spans="1:10" ht="21" x14ac:dyDescent="0.2">
      <c r="A152" s="281" t="str">
        <f>IF(C152&lt;&gt;"",1+MAX($A$6:A151),"")</f>
        <v/>
      </c>
      <c r="B152" s="288"/>
      <c r="C152" s="296"/>
      <c r="D152" s="284"/>
      <c r="E152" s="285"/>
      <c r="F152" s="285"/>
      <c r="G152" s="292"/>
      <c r="H152" s="292"/>
      <c r="I152" s="289"/>
      <c r="J152" s="293"/>
    </row>
    <row r="153" spans="1:10" ht="21" x14ac:dyDescent="0.2">
      <c r="A153" s="281">
        <f>IF(C153&lt;&gt;"",1+MAX($A$6:A152),"")</f>
        <v>111</v>
      </c>
      <c r="B153" s="288" t="s">
        <v>291</v>
      </c>
      <c r="C153" s="283">
        <v>28</v>
      </c>
      <c r="D153" s="284" t="s">
        <v>20</v>
      </c>
      <c r="E153" s="285">
        <f t="shared" ref="E153:F153" si="95">E$47</f>
        <v>0</v>
      </c>
      <c r="F153" s="285">
        <f t="shared" si="95"/>
        <v>0</v>
      </c>
      <c r="G153" s="292">
        <f t="shared" ref="G153:G169" si="96">E153*C153</f>
        <v>0</v>
      </c>
      <c r="H153" s="292">
        <f t="shared" ref="H153:H169" si="97">F153*C153</f>
        <v>0</v>
      </c>
      <c r="I153" s="289">
        <f t="shared" ref="I153:I169" si="98">H153+G153</f>
        <v>0</v>
      </c>
      <c r="J153" s="293" t="s">
        <v>292</v>
      </c>
    </row>
    <row r="154" spans="1:10" ht="21" x14ac:dyDescent="0.2">
      <c r="A154" s="281">
        <f>IF(C154&lt;&gt;"",1+MAX($A$6:A153),"")</f>
        <v>112</v>
      </c>
      <c r="B154" s="288" t="s">
        <v>345</v>
      </c>
      <c r="C154" s="283">
        <v>4</v>
      </c>
      <c r="D154" s="284" t="s">
        <v>20</v>
      </c>
      <c r="E154" s="291">
        <v>0</v>
      </c>
      <c r="F154" s="291">
        <v>0</v>
      </c>
      <c r="G154" s="292">
        <f t="shared" si="96"/>
        <v>0</v>
      </c>
      <c r="H154" s="292">
        <f t="shared" si="97"/>
        <v>0</v>
      </c>
      <c r="I154" s="289">
        <f t="shared" si="98"/>
        <v>0</v>
      </c>
      <c r="J154" s="293" t="s">
        <v>292</v>
      </c>
    </row>
    <row r="155" spans="1:10" ht="21" x14ac:dyDescent="0.2">
      <c r="A155" s="281">
        <f>IF(C155&lt;&gt;"",1+MAX($A$6:A154),"")</f>
        <v>113</v>
      </c>
      <c r="B155" s="288" t="s">
        <v>293</v>
      </c>
      <c r="C155" s="283">
        <v>23</v>
      </c>
      <c r="D155" s="284" t="s">
        <v>20</v>
      </c>
      <c r="E155" s="285">
        <f t="shared" ref="E155:F155" si="99">E$48</f>
        <v>0</v>
      </c>
      <c r="F155" s="285">
        <f t="shared" si="99"/>
        <v>0</v>
      </c>
      <c r="G155" s="292">
        <f t="shared" si="96"/>
        <v>0</v>
      </c>
      <c r="H155" s="292">
        <f t="shared" si="97"/>
        <v>0</v>
      </c>
      <c r="I155" s="289">
        <f t="shared" si="98"/>
        <v>0</v>
      </c>
      <c r="J155" s="293" t="s">
        <v>292</v>
      </c>
    </row>
    <row r="156" spans="1:10" ht="21" x14ac:dyDescent="0.2">
      <c r="A156" s="281">
        <f>IF(C156&lt;&gt;"",1+MAX($A$6:A155),"")</f>
        <v>114</v>
      </c>
      <c r="B156" s="288" t="s">
        <v>345</v>
      </c>
      <c r="C156" s="283">
        <v>3</v>
      </c>
      <c r="D156" s="284" t="s">
        <v>20</v>
      </c>
      <c r="E156" s="285">
        <f t="shared" ref="E156:F156" si="100">E$154</f>
        <v>0</v>
      </c>
      <c r="F156" s="285">
        <f t="shared" si="100"/>
        <v>0</v>
      </c>
      <c r="G156" s="292">
        <f t="shared" si="96"/>
        <v>0</v>
      </c>
      <c r="H156" s="292">
        <f t="shared" si="97"/>
        <v>0</v>
      </c>
      <c r="I156" s="289">
        <f t="shared" si="98"/>
        <v>0</v>
      </c>
      <c r="J156" s="293" t="s">
        <v>292</v>
      </c>
    </row>
    <row r="157" spans="1:10" ht="21" x14ac:dyDescent="0.2">
      <c r="A157" s="281">
        <f>IF(C157&lt;&gt;"",1+MAX($A$6:A156),"")</f>
        <v>115</v>
      </c>
      <c r="B157" s="288" t="s">
        <v>293</v>
      </c>
      <c r="C157" s="283">
        <v>11</v>
      </c>
      <c r="D157" s="284" t="s">
        <v>20</v>
      </c>
      <c r="E157" s="285">
        <f t="shared" ref="E157:F157" si="101">E$48</f>
        <v>0</v>
      </c>
      <c r="F157" s="285">
        <f t="shared" si="101"/>
        <v>0</v>
      </c>
      <c r="G157" s="292">
        <f t="shared" si="96"/>
        <v>0</v>
      </c>
      <c r="H157" s="292">
        <f t="shared" si="97"/>
        <v>0</v>
      </c>
      <c r="I157" s="289">
        <f t="shared" si="98"/>
        <v>0</v>
      </c>
      <c r="J157" s="293" t="s">
        <v>292</v>
      </c>
    </row>
    <row r="158" spans="1:10" ht="21" x14ac:dyDescent="0.2">
      <c r="A158" s="281">
        <f>IF(C158&lt;&gt;"",1+MAX($A$6:A157),"")</f>
        <v>116</v>
      </c>
      <c r="B158" s="288" t="s">
        <v>295</v>
      </c>
      <c r="C158" s="283">
        <v>12</v>
      </c>
      <c r="D158" s="284" t="s">
        <v>20</v>
      </c>
      <c r="E158" s="285">
        <f t="shared" ref="E158:F158" si="102">E$51</f>
        <v>0</v>
      </c>
      <c r="F158" s="285">
        <f t="shared" si="102"/>
        <v>0</v>
      </c>
      <c r="G158" s="292">
        <f t="shared" si="96"/>
        <v>0</v>
      </c>
      <c r="H158" s="292">
        <f t="shared" si="97"/>
        <v>0</v>
      </c>
      <c r="I158" s="289">
        <f t="shared" si="98"/>
        <v>0</v>
      </c>
      <c r="J158" s="293" t="s">
        <v>292</v>
      </c>
    </row>
    <row r="159" spans="1:10" ht="21" x14ac:dyDescent="0.2">
      <c r="A159" s="281">
        <f>IF(C159&lt;&gt;"",1+MAX($A$6:A158),"")</f>
        <v>117</v>
      </c>
      <c r="B159" s="288" t="s">
        <v>296</v>
      </c>
      <c r="C159" s="283">
        <v>16</v>
      </c>
      <c r="D159" s="284" t="s">
        <v>20</v>
      </c>
      <c r="E159" s="285">
        <f t="shared" ref="E159:F159" si="103">E$52</f>
        <v>0</v>
      </c>
      <c r="F159" s="285">
        <f t="shared" si="103"/>
        <v>0</v>
      </c>
      <c r="G159" s="292">
        <f t="shared" si="96"/>
        <v>0</v>
      </c>
      <c r="H159" s="292">
        <f t="shared" si="97"/>
        <v>0</v>
      </c>
      <c r="I159" s="289">
        <f t="shared" si="98"/>
        <v>0</v>
      </c>
      <c r="J159" s="293" t="s">
        <v>292</v>
      </c>
    </row>
    <row r="160" spans="1:10" ht="21" x14ac:dyDescent="0.2">
      <c r="A160" s="281">
        <f>IF(C160&lt;&gt;"",1+MAX($A$6:A159),"")</f>
        <v>118</v>
      </c>
      <c r="B160" s="288" t="s">
        <v>346</v>
      </c>
      <c r="C160" s="283">
        <v>32</v>
      </c>
      <c r="D160" s="284" t="s">
        <v>15</v>
      </c>
      <c r="E160" s="291">
        <v>0</v>
      </c>
      <c r="F160" s="291">
        <v>0</v>
      </c>
      <c r="G160" s="292">
        <f t="shared" si="96"/>
        <v>0</v>
      </c>
      <c r="H160" s="292">
        <f t="shared" si="97"/>
        <v>0</v>
      </c>
      <c r="I160" s="289">
        <f t="shared" si="98"/>
        <v>0</v>
      </c>
      <c r="J160" s="293" t="s">
        <v>292</v>
      </c>
    </row>
    <row r="161" spans="1:10" ht="21" x14ac:dyDescent="0.2">
      <c r="A161" s="281">
        <f>IF(C161&lt;&gt;"",1+MAX($A$6:A160),"")</f>
        <v>119</v>
      </c>
      <c r="B161" s="288" t="s">
        <v>347</v>
      </c>
      <c r="C161" s="283">
        <v>240</v>
      </c>
      <c r="D161" s="284" t="s">
        <v>15</v>
      </c>
      <c r="E161" s="285">
        <f t="shared" ref="E161:F161" si="104">E$53</f>
        <v>0</v>
      </c>
      <c r="F161" s="285">
        <f t="shared" si="104"/>
        <v>0</v>
      </c>
      <c r="G161" s="292">
        <f t="shared" si="96"/>
        <v>0</v>
      </c>
      <c r="H161" s="292">
        <f t="shared" si="97"/>
        <v>0</v>
      </c>
      <c r="I161" s="289">
        <f t="shared" si="98"/>
        <v>0</v>
      </c>
      <c r="J161" s="293" t="s">
        <v>292</v>
      </c>
    </row>
    <row r="162" spans="1:10" ht="21" x14ac:dyDescent="0.2">
      <c r="A162" s="281">
        <f>IF(C162&lt;&gt;"",1+MAX($A$6:A161),"")</f>
        <v>120</v>
      </c>
      <c r="B162" s="288" t="s">
        <v>348</v>
      </c>
      <c r="C162" s="283">
        <v>208</v>
      </c>
      <c r="D162" s="284" t="s">
        <v>15</v>
      </c>
      <c r="E162" s="285">
        <f t="shared" ref="E162:F162" si="105">E$54</f>
        <v>0</v>
      </c>
      <c r="F162" s="285">
        <f t="shared" si="105"/>
        <v>0</v>
      </c>
      <c r="G162" s="292">
        <f t="shared" si="96"/>
        <v>0</v>
      </c>
      <c r="H162" s="292">
        <f t="shared" si="97"/>
        <v>0</v>
      </c>
      <c r="I162" s="289">
        <f t="shared" si="98"/>
        <v>0</v>
      </c>
      <c r="J162" s="293" t="s">
        <v>292</v>
      </c>
    </row>
    <row r="163" spans="1:10" ht="21" x14ac:dyDescent="0.2">
      <c r="A163" s="281">
        <f>IF(C163&lt;&gt;"",1+MAX($A$6:A162),"")</f>
        <v>121</v>
      </c>
      <c r="B163" s="288" t="s">
        <v>301</v>
      </c>
      <c r="C163" s="283">
        <v>2</v>
      </c>
      <c r="D163" s="284" t="s">
        <v>20</v>
      </c>
      <c r="E163" s="285">
        <f t="shared" ref="E163:F163" si="106">E$57</f>
        <v>0</v>
      </c>
      <c r="F163" s="285">
        <f t="shared" si="106"/>
        <v>0</v>
      </c>
      <c r="G163" s="292">
        <f t="shared" si="96"/>
        <v>0</v>
      </c>
      <c r="H163" s="292">
        <f t="shared" si="97"/>
        <v>0</v>
      </c>
      <c r="I163" s="289">
        <f t="shared" si="98"/>
        <v>0</v>
      </c>
      <c r="J163" s="293" t="s">
        <v>292</v>
      </c>
    </row>
    <row r="164" spans="1:10" ht="21" x14ac:dyDescent="0.2">
      <c r="A164" s="281">
        <f>IF(C164&lt;&gt;"",1+MAX($A$6:A163),"")</f>
        <v>122</v>
      </c>
      <c r="B164" s="288" t="s">
        <v>349</v>
      </c>
      <c r="C164" s="283">
        <v>16</v>
      </c>
      <c r="D164" s="284" t="s">
        <v>15</v>
      </c>
      <c r="E164" s="291">
        <v>0</v>
      </c>
      <c r="F164" s="291">
        <v>0</v>
      </c>
      <c r="G164" s="292">
        <f>E164*C164</f>
        <v>0</v>
      </c>
      <c r="H164" s="292">
        <f>F164*C164</f>
        <v>0</v>
      </c>
      <c r="I164" s="289">
        <f>H164+G164</f>
        <v>0</v>
      </c>
      <c r="J164" s="293" t="s">
        <v>292</v>
      </c>
    </row>
    <row r="165" spans="1:10" ht="21" x14ac:dyDescent="0.2">
      <c r="A165" s="281">
        <f>IF(C165&lt;&gt;"",1+MAX($A$6:A164),"")</f>
        <v>123</v>
      </c>
      <c r="B165" s="288" t="s">
        <v>303</v>
      </c>
      <c r="C165" s="283">
        <v>7</v>
      </c>
      <c r="D165" s="284" t="s">
        <v>20</v>
      </c>
      <c r="E165" s="285">
        <f t="shared" ref="E165:F165" si="107">E$59</f>
        <v>0</v>
      </c>
      <c r="F165" s="285">
        <f t="shared" si="107"/>
        <v>0</v>
      </c>
      <c r="G165" s="292">
        <f t="shared" si="96"/>
        <v>0</v>
      </c>
      <c r="H165" s="292">
        <f t="shared" si="97"/>
        <v>0</v>
      </c>
      <c r="I165" s="289">
        <f t="shared" si="98"/>
        <v>0</v>
      </c>
      <c r="J165" s="293" t="s">
        <v>304</v>
      </c>
    </row>
    <row r="166" spans="1:10" ht="21" x14ac:dyDescent="0.2">
      <c r="A166" s="281">
        <f>IF(C166&lt;&gt;"",1+MAX($A$6:A165),"")</f>
        <v>124</v>
      </c>
      <c r="B166" s="288" t="s">
        <v>305</v>
      </c>
      <c r="C166" s="283">
        <v>136</v>
      </c>
      <c r="D166" s="284" t="s">
        <v>20</v>
      </c>
      <c r="E166" s="285">
        <f t="shared" ref="E166:F166" si="108">E$60</f>
        <v>0</v>
      </c>
      <c r="F166" s="285">
        <f t="shared" si="108"/>
        <v>0</v>
      </c>
      <c r="G166" s="292">
        <f t="shared" si="96"/>
        <v>0</v>
      </c>
      <c r="H166" s="292">
        <f t="shared" si="97"/>
        <v>0</v>
      </c>
      <c r="I166" s="289">
        <f t="shared" si="98"/>
        <v>0</v>
      </c>
      <c r="J166" s="293" t="s">
        <v>304</v>
      </c>
    </row>
    <row r="167" spans="1:10" ht="21" x14ac:dyDescent="0.2">
      <c r="A167" s="281">
        <f>IF(C167&lt;&gt;"",1+MAX($A$6:A166),"")</f>
        <v>125</v>
      </c>
      <c r="B167" s="288" t="s">
        <v>306</v>
      </c>
      <c r="C167" s="283">
        <v>2</v>
      </c>
      <c r="D167" s="284" t="s">
        <v>20</v>
      </c>
      <c r="E167" s="285">
        <f t="shared" ref="E167:F167" si="109">E$61</f>
        <v>0</v>
      </c>
      <c r="F167" s="285">
        <f t="shared" si="109"/>
        <v>0</v>
      </c>
      <c r="G167" s="292">
        <f t="shared" si="96"/>
        <v>0</v>
      </c>
      <c r="H167" s="292">
        <f t="shared" si="97"/>
        <v>0</v>
      </c>
      <c r="I167" s="289">
        <f t="shared" si="98"/>
        <v>0</v>
      </c>
      <c r="J167" s="293" t="s">
        <v>304</v>
      </c>
    </row>
    <row r="168" spans="1:10" ht="21" x14ac:dyDescent="0.2">
      <c r="A168" s="281">
        <f>IF(C168&lt;&gt;"",1+MAX($A$6:A167),"")</f>
        <v>126</v>
      </c>
      <c r="B168" s="288" t="s">
        <v>308</v>
      </c>
      <c r="C168" s="283">
        <v>65</v>
      </c>
      <c r="D168" s="284" t="s">
        <v>20</v>
      </c>
      <c r="E168" s="285">
        <f t="shared" ref="E168:F168" si="110">E$63</f>
        <v>0</v>
      </c>
      <c r="F168" s="285">
        <f t="shared" si="110"/>
        <v>0</v>
      </c>
      <c r="G168" s="292">
        <f t="shared" si="96"/>
        <v>0</v>
      </c>
      <c r="H168" s="292">
        <f t="shared" si="97"/>
        <v>0</v>
      </c>
      <c r="I168" s="289">
        <f t="shared" si="98"/>
        <v>0</v>
      </c>
      <c r="J168" s="293" t="s">
        <v>304</v>
      </c>
    </row>
    <row r="169" spans="1:10" ht="21" x14ac:dyDescent="0.2">
      <c r="A169" s="281">
        <f>IF(C169&lt;&gt;"",1+MAX($A$6:A168),"")</f>
        <v>127</v>
      </c>
      <c r="B169" s="288" t="s">
        <v>309</v>
      </c>
      <c r="C169" s="283">
        <v>5</v>
      </c>
      <c r="D169" s="284" t="s">
        <v>20</v>
      </c>
      <c r="E169" s="285">
        <f t="shared" ref="E169:F169" si="111">E$64</f>
        <v>0</v>
      </c>
      <c r="F169" s="285">
        <f t="shared" si="111"/>
        <v>0</v>
      </c>
      <c r="G169" s="292">
        <f t="shared" si="96"/>
        <v>0</v>
      </c>
      <c r="H169" s="292">
        <f t="shared" si="97"/>
        <v>0</v>
      </c>
      <c r="I169" s="289">
        <f t="shared" si="98"/>
        <v>0</v>
      </c>
      <c r="J169" s="293" t="s">
        <v>304</v>
      </c>
    </row>
    <row r="170" spans="1:10" ht="21" x14ac:dyDescent="0.2">
      <c r="A170" s="281" t="str">
        <f>IF(C170&lt;&gt;"",1+MAX($A$6:A169),"")</f>
        <v/>
      </c>
      <c r="B170" s="288"/>
      <c r="C170" s="296"/>
      <c r="D170" s="284"/>
      <c r="E170" s="285"/>
      <c r="F170" s="285"/>
      <c r="G170" s="285"/>
      <c r="H170" s="285"/>
      <c r="I170" s="289"/>
      <c r="J170" s="293"/>
    </row>
    <row r="171" spans="1:10" ht="21" x14ac:dyDescent="0.2">
      <c r="A171" s="281" t="str">
        <f>IF(C171&lt;&gt;"",1+MAX($A$6:A170),"")</f>
        <v/>
      </c>
      <c r="B171" s="282" t="s">
        <v>350</v>
      </c>
      <c r="C171" s="296"/>
      <c r="D171" s="284"/>
      <c r="E171" s="285"/>
      <c r="F171" s="285"/>
      <c r="G171" s="292"/>
      <c r="H171" s="292"/>
      <c r="I171" s="289"/>
      <c r="J171" s="293"/>
    </row>
    <row r="172" spans="1:10" ht="21" x14ac:dyDescent="0.2">
      <c r="A172" s="281" t="str">
        <f>IF(C172&lt;&gt;"",1+MAX($A$6:A171),"")</f>
        <v/>
      </c>
      <c r="B172" s="288"/>
      <c r="C172" s="296"/>
      <c r="D172" s="284"/>
      <c r="E172" s="285"/>
      <c r="F172" s="285"/>
      <c r="G172" s="292"/>
      <c r="H172" s="292"/>
      <c r="I172" s="289"/>
      <c r="J172" s="293"/>
    </row>
    <row r="173" spans="1:10" ht="21" x14ac:dyDescent="0.2">
      <c r="A173" s="281">
        <f>IF(C173&lt;&gt;"",1+MAX($A$6:A172),"")</f>
        <v>128</v>
      </c>
      <c r="B173" s="288" t="s">
        <v>289</v>
      </c>
      <c r="C173" s="283">
        <v>210</v>
      </c>
      <c r="D173" s="284" t="s">
        <v>20</v>
      </c>
      <c r="E173" s="285">
        <f t="shared" ref="E173:F173" si="112">E$41</f>
        <v>0</v>
      </c>
      <c r="F173" s="285">
        <f t="shared" si="112"/>
        <v>0</v>
      </c>
      <c r="G173" s="292">
        <f t="shared" ref="G173:G191" si="113">E173*C173</f>
        <v>0</v>
      </c>
      <c r="H173" s="292">
        <f t="shared" ref="H173:H191" si="114">F173*C173</f>
        <v>0</v>
      </c>
      <c r="I173" s="289">
        <f t="shared" ref="I173:I191" si="115">H173+G173</f>
        <v>0</v>
      </c>
      <c r="J173" s="293" t="s">
        <v>312</v>
      </c>
    </row>
    <row r="174" spans="1:10" ht="21" x14ac:dyDescent="0.2">
      <c r="A174" s="281">
        <f>IF(C174&lt;&gt;"",1+MAX($A$6:A173),"")</f>
        <v>129</v>
      </c>
      <c r="B174" s="288" t="s">
        <v>274</v>
      </c>
      <c r="C174" s="283">
        <v>158</v>
      </c>
      <c r="D174" s="284" t="s">
        <v>20</v>
      </c>
      <c r="E174" s="285">
        <f t="shared" ref="E174:F174" si="116">E$12</f>
        <v>0</v>
      </c>
      <c r="F174" s="285">
        <f t="shared" si="116"/>
        <v>0</v>
      </c>
      <c r="G174" s="292">
        <f t="shared" si="113"/>
        <v>0</v>
      </c>
      <c r="H174" s="292">
        <f t="shared" si="114"/>
        <v>0</v>
      </c>
      <c r="I174" s="289">
        <f t="shared" si="115"/>
        <v>0</v>
      </c>
      <c r="J174" s="293" t="s">
        <v>313</v>
      </c>
    </row>
    <row r="175" spans="1:10" ht="21" x14ac:dyDescent="0.2">
      <c r="A175" s="281">
        <f>IF(C175&lt;&gt;"",1+MAX($A$6:A174),"")</f>
        <v>130</v>
      </c>
      <c r="B175" s="288" t="s">
        <v>314</v>
      </c>
      <c r="C175" s="283">
        <v>131</v>
      </c>
      <c r="D175" s="284" t="s">
        <v>20</v>
      </c>
      <c r="E175" s="285">
        <f t="shared" ref="E175:F175" si="117">E$71</f>
        <v>0</v>
      </c>
      <c r="F175" s="285">
        <f t="shared" si="117"/>
        <v>0</v>
      </c>
      <c r="G175" s="292">
        <f t="shared" si="113"/>
        <v>0</v>
      </c>
      <c r="H175" s="292">
        <f t="shared" si="114"/>
        <v>0</v>
      </c>
      <c r="I175" s="289">
        <f t="shared" si="115"/>
        <v>0</v>
      </c>
      <c r="J175" s="293" t="s">
        <v>315</v>
      </c>
    </row>
    <row r="176" spans="1:10" ht="21" x14ac:dyDescent="0.2">
      <c r="A176" s="281">
        <f>IF(C176&lt;&gt;"",1+MAX($A$6:A175),"")</f>
        <v>131</v>
      </c>
      <c r="B176" s="288" t="s">
        <v>351</v>
      </c>
      <c r="C176" s="283">
        <v>38</v>
      </c>
      <c r="D176" s="284" t="s">
        <v>20</v>
      </c>
      <c r="E176" s="291">
        <v>0</v>
      </c>
      <c r="F176" s="291">
        <v>0</v>
      </c>
      <c r="G176" s="292">
        <f t="shared" si="113"/>
        <v>0</v>
      </c>
      <c r="H176" s="292">
        <f t="shared" si="114"/>
        <v>0</v>
      </c>
      <c r="I176" s="289">
        <f t="shared" si="115"/>
        <v>0</v>
      </c>
      <c r="J176" s="293" t="s">
        <v>315</v>
      </c>
    </row>
    <row r="177" spans="1:14" ht="21" x14ac:dyDescent="0.2">
      <c r="A177" s="281">
        <f>IF(C177&lt;&gt;"",1+MAX($A$6:A176),"")</f>
        <v>132</v>
      </c>
      <c r="B177" s="288" t="s">
        <v>317</v>
      </c>
      <c r="C177" s="283">
        <v>109</v>
      </c>
      <c r="D177" s="284" t="s">
        <v>20</v>
      </c>
      <c r="E177" s="285">
        <f t="shared" ref="E177:F177" si="118">E$73</f>
        <v>0</v>
      </c>
      <c r="F177" s="285">
        <f t="shared" si="118"/>
        <v>0</v>
      </c>
      <c r="G177" s="292">
        <f t="shared" si="113"/>
        <v>0</v>
      </c>
      <c r="H177" s="292">
        <f t="shared" si="114"/>
        <v>0</v>
      </c>
      <c r="I177" s="289">
        <f t="shared" si="115"/>
        <v>0</v>
      </c>
      <c r="J177" s="293" t="s">
        <v>315</v>
      </c>
    </row>
    <row r="178" spans="1:14" ht="21" x14ac:dyDescent="0.2">
      <c r="A178" s="281">
        <f>IF(C178&lt;&gt;"",1+MAX($A$6:A177),"")</f>
        <v>133</v>
      </c>
      <c r="B178" s="288" t="s">
        <v>281</v>
      </c>
      <c r="C178" s="283">
        <v>57</v>
      </c>
      <c r="D178" s="284" t="s">
        <v>20</v>
      </c>
      <c r="E178" s="285">
        <f t="shared" ref="E178:F178" si="119">E$22</f>
        <v>0</v>
      </c>
      <c r="F178" s="285">
        <f t="shared" si="119"/>
        <v>0</v>
      </c>
      <c r="G178" s="292">
        <f t="shared" si="113"/>
        <v>0</v>
      </c>
      <c r="H178" s="292">
        <f t="shared" si="114"/>
        <v>0</v>
      </c>
      <c r="I178" s="289">
        <f t="shared" si="115"/>
        <v>0</v>
      </c>
      <c r="J178" s="293" t="s">
        <v>318</v>
      </c>
    </row>
    <row r="179" spans="1:14" ht="21" x14ac:dyDescent="0.2">
      <c r="A179" s="281">
        <f>IF(C179&lt;&gt;"",1+MAX($A$6:A178),"")</f>
        <v>134</v>
      </c>
      <c r="B179" s="288" t="s">
        <v>352</v>
      </c>
      <c r="C179" s="283">
        <v>60</v>
      </c>
      <c r="D179" s="284" t="s">
        <v>20</v>
      </c>
      <c r="E179" s="291">
        <v>0</v>
      </c>
      <c r="F179" s="291">
        <v>0</v>
      </c>
      <c r="G179" s="292">
        <f t="shared" si="113"/>
        <v>0</v>
      </c>
      <c r="H179" s="292">
        <f t="shared" si="114"/>
        <v>0</v>
      </c>
      <c r="I179" s="289">
        <f t="shared" si="115"/>
        <v>0</v>
      </c>
      <c r="J179" s="293" t="s">
        <v>320</v>
      </c>
    </row>
    <row r="180" spans="1:14" ht="21" x14ac:dyDescent="0.2">
      <c r="A180" s="281">
        <f>IF(C180&lt;&gt;"",1+MAX($A$6:A179),"")</f>
        <v>135</v>
      </c>
      <c r="B180" s="288" t="s">
        <v>319</v>
      </c>
      <c r="C180" s="283">
        <v>91</v>
      </c>
      <c r="D180" s="284" t="s">
        <v>20</v>
      </c>
      <c r="E180" s="285">
        <f t="shared" ref="E180:F180" si="120">E$75</f>
        <v>0</v>
      </c>
      <c r="F180" s="285">
        <f t="shared" si="120"/>
        <v>0</v>
      </c>
      <c r="G180" s="292">
        <f t="shared" si="113"/>
        <v>0</v>
      </c>
      <c r="H180" s="292">
        <f t="shared" si="114"/>
        <v>0</v>
      </c>
      <c r="I180" s="289">
        <f t="shared" si="115"/>
        <v>0</v>
      </c>
      <c r="J180" s="293" t="s">
        <v>320</v>
      </c>
    </row>
    <row r="181" spans="1:14" ht="21" x14ac:dyDescent="0.2">
      <c r="A181" s="281">
        <f>IF(C181&lt;&gt;"",1+MAX($A$6:A180),"")</f>
        <v>136</v>
      </c>
      <c r="B181" s="288" t="s">
        <v>321</v>
      </c>
      <c r="C181" s="283">
        <v>135</v>
      </c>
      <c r="D181" s="284" t="s">
        <v>20</v>
      </c>
      <c r="E181" s="285">
        <f t="shared" ref="E181:F181" si="121">E$76</f>
        <v>0</v>
      </c>
      <c r="F181" s="285">
        <f t="shared" si="121"/>
        <v>0</v>
      </c>
      <c r="G181" s="292">
        <f t="shared" si="113"/>
        <v>0</v>
      </c>
      <c r="H181" s="292">
        <f t="shared" si="114"/>
        <v>0</v>
      </c>
      <c r="I181" s="289">
        <f t="shared" si="115"/>
        <v>0</v>
      </c>
      <c r="J181" s="293" t="s">
        <v>320</v>
      </c>
    </row>
    <row r="182" spans="1:14" ht="21" x14ac:dyDescent="0.2">
      <c r="A182" s="281">
        <f>IF(C182&lt;&gt;"",1+MAX($A$6:A181),"")</f>
        <v>137</v>
      </c>
      <c r="B182" s="288" t="s">
        <v>322</v>
      </c>
      <c r="C182" s="283">
        <v>294</v>
      </c>
      <c r="D182" s="284" t="s">
        <v>20</v>
      </c>
      <c r="E182" s="285">
        <f t="shared" ref="E182:F182" si="122">E$77</f>
        <v>0</v>
      </c>
      <c r="F182" s="285">
        <f t="shared" si="122"/>
        <v>0</v>
      </c>
      <c r="G182" s="292">
        <f t="shared" si="113"/>
        <v>0</v>
      </c>
      <c r="H182" s="292">
        <f t="shared" si="114"/>
        <v>0</v>
      </c>
      <c r="I182" s="289">
        <f t="shared" si="115"/>
        <v>0</v>
      </c>
      <c r="J182" s="293" t="s">
        <v>320</v>
      </c>
    </row>
    <row r="183" spans="1:14" ht="21" x14ac:dyDescent="0.2">
      <c r="A183" s="281">
        <f>IF(C183&lt;&gt;"",1+MAX($A$6:A182),"")</f>
        <v>138</v>
      </c>
      <c r="B183" s="288" t="s">
        <v>323</v>
      </c>
      <c r="C183" s="283">
        <v>304</v>
      </c>
      <c r="D183" s="284" t="s">
        <v>20</v>
      </c>
      <c r="E183" s="285">
        <f t="shared" ref="E183:F183" si="123">E$78</f>
        <v>0</v>
      </c>
      <c r="F183" s="285">
        <f t="shared" si="123"/>
        <v>0</v>
      </c>
      <c r="G183" s="292">
        <f t="shared" si="113"/>
        <v>0</v>
      </c>
      <c r="H183" s="292">
        <f t="shared" si="114"/>
        <v>0</v>
      </c>
      <c r="I183" s="289">
        <f t="shared" si="115"/>
        <v>0</v>
      </c>
      <c r="J183" s="293" t="s">
        <v>320</v>
      </c>
    </row>
    <row r="184" spans="1:14" ht="21" x14ac:dyDescent="0.2">
      <c r="A184" s="281">
        <f>IF(C184&lt;&gt;"",1+MAX($A$6:A183),"")</f>
        <v>139</v>
      </c>
      <c r="B184" s="288" t="s">
        <v>324</v>
      </c>
      <c r="C184" s="283">
        <v>98</v>
      </c>
      <c r="D184" s="284" t="s">
        <v>20</v>
      </c>
      <c r="E184" s="285">
        <f t="shared" ref="E184:F184" si="124">E$79</f>
        <v>0</v>
      </c>
      <c r="F184" s="285">
        <f t="shared" si="124"/>
        <v>0</v>
      </c>
      <c r="G184" s="292">
        <f t="shared" si="113"/>
        <v>0</v>
      </c>
      <c r="H184" s="292">
        <f t="shared" si="114"/>
        <v>0</v>
      </c>
      <c r="I184" s="289">
        <f t="shared" si="115"/>
        <v>0</v>
      </c>
      <c r="J184" s="293" t="s">
        <v>320</v>
      </c>
    </row>
    <row r="185" spans="1:14" ht="21" x14ac:dyDescent="0.2">
      <c r="A185" s="281">
        <f>IF(C185&lt;&gt;"",1+MAX($A$6:A184),"")</f>
        <v>140</v>
      </c>
      <c r="B185" s="288" t="s">
        <v>325</v>
      </c>
      <c r="C185" s="283">
        <v>35</v>
      </c>
      <c r="D185" s="284" t="s">
        <v>20</v>
      </c>
      <c r="E185" s="285">
        <f t="shared" ref="E185:F185" si="125">E$80</f>
        <v>0</v>
      </c>
      <c r="F185" s="285">
        <f t="shared" si="125"/>
        <v>0</v>
      </c>
      <c r="G185" s="292">
        <f t="shared" si="113"/>
        <v>0</v>
      </c>
      <c r="H185" s="292">
        <f t="shared" si="114"/>
        <v>0</v>
      </c>
      <c r="I185" s="289">
        <f t="shared" si="115"/>
        <v>0</v>
      </c>
      <c r="J185" s="293" t="s">
        <v>320</v>
      </c>
    </row>
    <row r="186" spans="1:14" ht="21" x14ac:dyDescent="0.2">
      <c r="A186" s="281">
        <f>IF(C186&lt;&gt;"",1+MAX($A$6:A185),"")</f>
        <v>141</v>
      </c>
      <c r="B186" s="288" t="s">
        <v>326</v>
      </c>
      <c r="C186" s="283">
        <v>10</v>
      </c>
      <c r="D186" s="284" t="s">
        <v>20</v>
      </c>
      <c r="E186" s="285">
        <f t="shared" ref="E186:F186" si="126">E$81</f>
        <v>0</v>
      </c>
      <c r="F186" s="285">
        <f t="shared" si="126"/>
        <v>0</v>
      </c>
      <c r="G186" s="292">
        <f t="shared" si="113"/>
        <v>0</v>
      </c>
      <c r="H186" s="292">
        <f t="shared" si="114"/>
        <v>0</v>
      </c>
      <c r="I186" s="289">
        <f t="shared" si="115"/>
        <v>0</v>
      </c>
      <c r="J186" s="293" t="s">
        <v>320</v>
      </c>
    </row>
    <row r="187" spans="1:14" ht="21" x14ac:dyDescent="0.2">
      <c r="A187" s="281">
        <f>IF(C187&lt;&gt;"",1+MAX($A$6:A186),"")</f>
        <v>142</v>
      </c>
      <c r="B187" s="288" t="s">
        <v>353</v>
      </c>
      <c r="C187" s="283">
        <v>8</v>
      </c>
      <c r="D187" s="284" t="s">
        <v>20</v>
      </c>
      <c r="E187" s="291">
        <v>0</v>
      </c>
      <c r="F187" s="291">
        <v>0</v>
      </c>
      <c r="G187" s="292">
        <f t="shared" si="113"/>
        <v>0</v>
      </c>
      <c r="H187" s="292">
        <f t="shared" si="114"/>
        <v>0</v>
      </c>
      <c r="I187" s="289">
        <f t="shared" si="115"/>
        <v>0</v>
      </c>
      <c r="J187" s="293" t="s">
        <v>320</v>
      </c>
    </row>
    <row r="188" spans="1:14" ht="21" x14ac:dyDescent="0.2">
      <c r="A188" s="281">
        <f>IF(C188&lt;&gt;"",1+MAX($A$6:A187),"")</f>
        <v>143</v>
      </c>
      <c r="B188" s="288" t="s">
        <v>354</v>
      </c>
      <c r="C188" s="283">
        <v>3</v>
      </c>
      <c r="D188" s="284" t="s">
        <v>20</v>
      </c>
      <c r="E188" s="291">
        <v>0</v>
      </c>
      <c r="F188" s="291">
        <v>0</v>
      </c>
      <c r="G188" s="292">
        <f t="shared" si="113"/>
        <v>0</v>
      </c>
      <c r="H188" s="292">
        <f t="shared" si="114"/>
        <v>0</v>
      </c>
      <c r="I188" s="289">
        <f t="shared" si="115"/>
        <v>0</v>
      </c>
      <c r="J188" s="293" t="s">
        <v>320</v>
      </c>
    </row>
    <row r="189" spans="1:14" ht="21" x14ac:dyDescent="0.2">
      <c r="A189" s="281">
        <f>IF(C189&lt;&gt;"",1+MAX($A$6:A188),"")</f>
        <v>144</v>
      </c>
      <c r="B189" s="288" t="s">
        <v>355</v>
      </c>
      <c r="C189" s="283">
        <v>17</v>
      </c>
      <c r="D189" s="284" t="s">
        <v>20</v>
      </c>
      <c r="E189" s="291">
        <v>0</v>
      </c>
      <c r="F189" s="291">
        <v>0</v>
      </c>
      <c r="G189" s="292">
        <f t="shared" si="113"/>
        <v>0</v>
      </c>
      <c r="H189" s="292">
        <f t="shared" si="114"/>
        <v>0</v>
      </c>
      <c r="I189" s="289">
        <f t="shared" si="115"/>
        <v>0</v>
      </c>
      <c r="J189" s="293" t="s">
        <v>320</v>
      </c>
    </row>
    <row r="190" spans="1:14" ht="21" x14ac:dyDescent="0.2">
      <c r="A190" s="281">
        <f>IF(C190&lt;&gt;"",1+MAX($A$6:A189),"")</f>
        <v>145</v>
      </c>
      <c r="B190" s="288" t="s">
        <v>329</v>
      </c>
      <c r="C190" s="283">
        <v>759</v>
      </c>
      <c r="D190" s="284" t="s">
        <v>20</v>
      </c>
      <c r="E190" s="285">
        <f t="shared" ref="E190:F190" si="127">E$84</f>
        <v>0</v>
      </c>
      <c r="F190" s="285">
        <f t="shared" si="127"/>
        <v>0</v>
      </c>
      <c r="G190" s="292">
        <f t="shared" si="113"/>
        <v>0</v>
      </c>
      <c r="H190" s="292">
        <f t="shared" si="114"/>
        <v>0</v>
      </c>
      <c r="I190" s="289">
        <f t="shared" si="115"/>
        <v>0</v>
      </c>
      <c r="J190" s="293" t="s">
        <v>330</v>
      </c>
    </row>
    <row r="191" spans="1:14" ht="21" x14ac:dyDescent="0.2">
      <c r="A191" s="281">
        <f>IF(C191&lt;&gt;"",1+MAX($A$6:A190),"")</f>
        <v>146</v>
      </c>
      <c r="B191" s="288" t="s">
        <v>331</v>
      </c>
      <c r="C191" s="283">
        <v>190</v>
      </c>
      <c r="D191" s="290" t="s">
        <v>20</v>
      </c>
      <c r="E191" s="285">
        <f t="shared" ref="E191:F191" si="128">E$85</f>
        <v>0</v>
      </c>
      <c r="F191" s="285">
        <f t="shared" si="128"/>
        <v>0</v>
      </c>
      <c r="G191" s="292">
        <f t="shared" si="113"/>
        <v>0</v>
      </c>
      <c r="H191" s="292">
        <f t="shared" si="114"/>
        <v>0</v>
      </c>
      <c r="I191" s="289">
        <f t="shared" si="115"/>
        <v>0</v>
      </c>
      <c r="J191" s="293" t="s">
        <v>332</v>
      </c>
      <c r="N191" s="298"/>
    </row>
    <row r="192" spans="1:14" ht="21" x14ac:dyDescent="0.2">
      <c r="A192" s="281" t="str">
        <f>IF(C192&lt;&gt;"",1+MAX($A$6:A191),"")</f>
        <v/>
      </c>
      <c r="B192" s="288"/>
      <c r="C192" s="296"/>
      <c r="D192" s="284"/>
      <c r="E192" s="285"/>
      <c r="F192" s="285"/>
      <c r="G192" s="292"/>
      <c r="H192" s="292"/>
      <c r="I192" s="289"/>
      <c r="J192" s="293"/>
    </row>
    <row r="193" spans="1:14" ht="21" x14ac:dyDescent="0.2">
      <c r="A193" s="281" t="str">
        <f>IF(C193&lt;&gt;"",1+MAX($A$6:A192),"")</f>
        <v/>
      </c>
      <c r="B193" s="282" t="s">
        <v>356</v>
      </c>
      <c r="C193" s="283"/>
      <c r="D193" s="284"/>
      <c r="E193" s="285"/>
      <c r="F193" s="285"/>
      <c r="G193" s="285"/>
      <c r="H193" s="285"/>
      <c r="I193" s="289"/>
      <c r="J193" s="293"/>
    </row>
    <row r="194" spans="1:14" ht="21" x14ac:dyDescent="0.2">
      <c r="A194" s="281" t="str">
        <f>IF(C194&lt;&gt;"",1+MAX($A$6:A193),"")</f>
        <v/>
      </c>
      <c r="B194" s="288"/>
      <c r="C194" s="283"/>
      <c r="D194" s="284"/>
      <c r="E194" s="285"/>
      <c r="F194" s="285"/>
      <c r="G194" s="285"/>
      <c r="H194" s="285"/>
      <c r="I194" s="289"/>
      <c r="J194" s="293"/>
    </row>
    <row r="195" spans="1:14" ht="21" x14ac:dyDescent="0.2">
      <c r="A195" s="281">
        <f>IF(C195&lt;&gt;"",1+MAX($A$6:A194),"")</f>
        <v>147</v>
      </c>
      <c r="B195" s="288" t="s">
        <v>289</v>
      </c>
      <c r="C195" s="283">
        <v>1</v>
      </c>
      <c r="D195" s="290" t="s">
        <v>20</v>
      </c>
      <c r="E195" s="285">
        <f t="shared" ref="E195:F195" si="129">E$41</f>
        <v>0</v>
      </c>
      <c r="F195" s="285">
        <f t="shared" si="129"/>
        <v>0</v>
      </c>
      <c r="G195" s="292">
        <f t="shared" ref="G195:G204" si="130">E195*C195</f>
        <v>0</v>
      </c>
      <c r="H195" s="292">
        <f t="shared" ref="H195:H204" si="131">F195*C195</f>
        <v>0</v>
      </c>
      <c r="I195" s="289">
        <f t="shared" ref="I195:I204" si="132">H195+G195</f>
        <v>0</v>
      </c>
      <c r="J195" s="293" t="s">
        <v>271</v>
      </c>
    </row>
    <row r="196" spans="1:14" ht="21" x14ac:dyDescent="0.2">
      <c r="A196" s="281">
        <f>IF(C196&lt;&gt;"",1+MAX($A$6:A195),"")</f>
        <v>148</v>
      </c>
      <c r="B196" s="288" t="s">
        <v>274</v>
      </c>
      <c r="C196" s="283">
        <v>71</v>
      </c>
      <c r="D196" s="290" t="s">
        <v>20</v>
      </c>
      <c r="E196" s="285">
        <f t="shared" ref="E196:F196" si="133">E$12</f>
        <v>0</v>
      </c>
      <c r="F196" s="285">
        <f t="shared" si="133"/>
        <v>0</v>
      </c>
      <c r="G196" s="292">
        <f t="shared" si="130"/>
        <v>0</v>
      </c>
      <c r="H196" s="292">
        <f t="shared" si="131"/>
        <v>0</v>
      </c>
      <c r="I196" s="289">
        <f t="shared" si="132"/>
        <v>0</v>
      </c>
      <c r="J196" s="293" t="s">
        <v>271</v>
      </c>
    </row>
    <row r="197" spans="1:14" ht="21" x14ac:dyDescent="0.2">
      <c r="A197" s="281">
        <f>IF(C197&lt;&gt;"",1+MAX($A$6:A196),"")</f>
        <v>149</v>
      </c>
      <c r="B197" s="288" t="s">
        <v>281</v>
      </c>
      <c r="C197" s="283">
        <v>2</v>
      </c>
      <c r="D197" s="290" t="s">
        <v>20</v>
      </c>
      <c r="E197" s="285">
        <f t="shared" ref="E197:F197" si="134">E$22</f>
        <v>0</v>
      </c>
      <c r="F197" s="285">
        <f t="shared" si="134"/>
        <v>0</v>
      </c>
      <c r="G197" s="292">
        <f t="shared" si="130"/>
        <v>0</v>
      </c>
      <c r="H197" s="292">
        <f t="shared" si="131"/>
        <v>0</v>
      </c>
      <c r="I197" s="289">
        <f t="shared" si="132"/>
        <v>0</v>
      </c>
      <c r="J197" s="293" t="s">
        <v>271</v>
      </c>
    </row>
    <row r="198" spans="1:14" ht="21" x14ac:dyDescent="0.2">
      <c r="A198" s="281">
        <f>IF(C198&lt;&gt;"",1+MAX($A$6:A197),"")</f>
        <v>150</v>
      </c>
      <c r="B198" s="288" t="s">
        <v>335</v>
      </c>
      <c r="C198" s="283">
        <v>7</v>
      </c>
      <c r="D198" s="284" t="s">
        <v>20</v>
      </c>
      <c r="E198" s="285">
        <f t="shared" ref="E198:F198" si="135">E$94</f>
        <v>0</v>
      </c>
      <c r="F198" s="285">
        <f t="shared" si="135"/>
        <v>0</v>
      </c>
      <c r="G198" s="292">
        <f t="shared" si="130"/>
        <v>0</v>
      </c>
      <c r="H198" s="292">
        <f t="shared" si="131"/>
        <v>0</v>
      </c>
      <c r="I198" s="289">
        <f t="shared" si="132"/>
        <v>0</v>
      </c>
      <c r="J198" s="293" t="s">
        <v>273</v>
      </c>
    </row>
    <row r="199" spans="1:14" ht="21" x14ac:dyDescent="0.2">
      <c r="A199" s="281">
        <f>IF(C199&lt;&gt;"",1+MAX($A$6:A198),"")</f>
        <v>151</v>
      </c>
      <c r="B199" s="288" t="s">
        <v>288</v>
      </c>
      <c r="C199" s="283">
        <v>1709</v>
      </c>
      <c r="D199" s="284" t="s">
        <v>20</v>
      </c>
      <c r="E199" s="285">
        <f t="shared" ref="E199:F199" si="136">E$40</f>
        <v>0</v>
      </c>
      <c r="F199" s="285">
        <f t="shared" si="136"/>
        <v>0</v>
      </c>
      <c r="G199" s="292">
        <f t="shared" si="130"/>
        <v>0</v>
      </c>
      <c r="H199" s="292">
        <f t="shared" si="131"/>
        <v>0</v>
      </c>
      <c r="I199" s="289">
        <f t="shared" si="132"/>
        <v>0</v>
      </c>
      <c r="J199" s="293" t="s">
        <v>273</v>
      </c>
    </row>
    <row r="200" spans="1:14" ht="21" x14ac:dyDescent="0.2">
      <c r="A200" s="281">
        <f>IF(C200&lt;&gt;"",1+MAX($A$6:A199),"")</f>
        <v>152</v>
      </c>
      <c r="B200" s="288" t="s">
        <v>336</v>
      </c>
      <c r="C200" s="283">
        <v>35</v>
      </c>
      <c r="D200" s="284" t="s">
        <v>20</v>
      </c>
      <c r="E200" s="285">
        <f t="shared" ref="E200:F200" si="137">E$96</f>
        <v>0</v>
      </c>
      <c r="F200" s="285">
        <f t="shared" si="137"/>
        <v>0</v>
      </c>
      <c r="G200" s="292">
        <f t="shared" si="130"/>
        <v>0</v>
      </c>
      <c r="H200" s="292">
        <f t="shared" si="131"/>
        <v>0</v>
      </c>
      <c r="I200" s="289">
        <f t="shared" si="132"/>
        <v>0</v>
      </c>
      <c r="J200" s="293" t="s">
        <v>273</v>
      </c>
    </row>
    <row r="201" spans="1:14" ht="21" x14ac:dyDescent="0.2">
      <c r="A201" s="281">
        <f>IF(C201&lt;&gt;"",1+MAX($A$6:A200),"")</f>
        <v>153</v>
      </c>
      <c r="B201" s="288" t="s">
        <v>289</v>
      </c>
      <c r="C201" s="283">
        <v>1</v>
      </c>
      <c r="D201" s="284" t="s">
        <v>20</v>
      </c>
      <c r="E201" s="285">
        <f t="shared" ref="E201:F201" si="138">E$41</f>
        <v>0</v>
      </c>
      <c r="F201" s="285">
        <f t="shared" si="138"/>
        <v>0</v>
      </c>
      <c r="G201" s="292">
        <f t="shared" si="130"/>
        <v>0</v>
      </c>
      <c r="H201" s="292">
        <f t="shared" si="131"/>
        <v>0</v>
      </c>
      <c r="I201" s="289">
        <f t="shared" si="132"/>
        <v>0</v>
      </c>
      <c r="J201" s="293" t="s">
        <v>275</v>
      </c>
    </row>
    <row r="202" spans="1:14" ht="21" x14ac:dyDescent="0.2">
      <c r="A202" s="281">
        <f>IF(C202&lt;&gt;"",1+MAX($A$6:A201),"")</f>
        <v>154</v>
      </c>
      <c r="B202" s="288" t="s">
        <v>274</v>
      </c>
      <c r="C202" s="283">
        <v>213</v>
      </c>
      <c r="D202" s="284" t="s">
        <v>20</v>
      </c>
      <c r="E202" s="285">
        <f t="shared" ref="E202:F202" si="139">E$12</f>
        <v>0</v>
      </c>
      <c r="F202" s="285">
        <f t="shared" si="139"/>
        <v>0</v>
      </c>
      <c r="G202" s="292">
        <f t="shared" si="130"/>
        <v>0</v>
      </c>
      <c r="H202" s="292">
        <f t="shared" si="131"/>
        <v>0</v>
      </c>
      <c r="I202" s="289">
        <f t="shared" si="132"/>
        <v>0</v>
      </c>
      <c r="J202" s="293" t="s">
        <v>275</v>
      </c>
    </row>
    <row r="203" spans="1:14" ht="21" x14ac:dyDescent="0.2">
      <c r="A203" s="281">
        <f>IF(C203&lt;&gt;"",1+MAX($A$6:A202),"")</f>
        <v>155</v>
      </c>
      <c r="B203" s="288" t="s">
        <v>281</v>
      </c>
      <c r="C203" s="283">
        <v>6</v>
      </c>
      <c r="D203" s="284" t="s">
        <v>20</v>
      </c>
      <c r="E203" s="285">
        <f t="shared" ref="E203:F203" si="140">E$22</f>
        <v>0</v>
      </c>
      <c r="F203" s="285">
        <f t="shared" si="140"/>
        <v>0</v>
      </c>
      <c r="G203" s="292">
        <f t="shared" si="130"/>
        <v>0</v>
      </c>
      <c r="H203" s="292">
        <f t="shared" si="131"/>
        <v>0</v>
      </c>
      <c r="I203" s="289">
        <f t="shared" si="132"/>
        <v>0</v>
      </c>
      <c r="J203" s="293" t="s">
        <v>275</v>
      </c>
    </row>
    <row r="204" spans="1:14" ht="21" x14ac:dyDescent="0.2">
      <c r="A204" s="281">
        <f>IF(C204&lt;&gt;"",1+MAX($A$6:A203),"")</f>
        <v>156</v>
      </c>
      <c r="B204" s="288" t="s">
        <v>276</v>
      </c>
      <c r="C204" s="283">
        <v>379</v>
      </c>
      <c r="D204" s="284" t="s">
        <v>20</v>
      </c>
      <c r="E204" s="285">
        <f t="shared" ref="E204:F204" si="141">E$13</f>
        <v>0</v>
      </c>
      <c r="F204" s="285">
        <f t="shared" si="141"/>
        <v>0</v>
      </c>
      <c r="G204" s="292">
        <f t="shared" si="130"/>
        <v>0</v>
      </c>
      <c r="H204" s="292">
        <f t="shared" si="131"/>
        <v>0</v>
      </c>
      <c r="I204" s="289">
        <f t="shared" si="132"/>
        <v>0</v>
      </c>
      <c r="J204" s="293" t="s">
        <v>277</v>
      </c>
    </row>
    <row r="205" spans="1:14" ht="21" x14ac:dyDescent="0.2">
      <c r="A205" s="281" t="str">
        <f>IF(C205&lt;&gt;"",1+MAX($A$6:A204),"")</f>
        <v/>
      </c>
      <c r="B205" s="295"/>
      <c r="C205" s="296"/>
      <c r="D205" s="284"/>
      <c r="E205" s="285"/>
      <c r="F205" s="285"/>
      <c r="G205" s="292"/>
      <c r="H205" s="292"/>
      <c r="I205" s="289"/>
      <c r="J205" s="293"/>
      <c r="N205" s="298"/>
    </row>
    <row r="206" spans="1:14" ht="21" x14ac:dyDescent="0.2">
      <c r="A206" s="281" t="str">
        <f>IF(C206&lt;&gt;"",1+MAX($A$6:A205),"")</f>
        <v/>
      </c>
      <c r="B206" s="297" t="s">
        <v>357</v>
      </c>
      <c r="C206" s="296"/>
      <c r="D206" s="284"/>
      <c r="E206" s="285"/>
      <c r="F206" s="285"/>
      <c r="G206" s="292"/>
      <c r="H206" s="292"/>
      <c r="I206" s="289"/>
      <c r="J206" s="293"/>
      <c r="N206" s="298"/>
    </row>
    <row r="207" spans="1:14" ht="21" x14ac:dyDescent="0.2">
      <c r="A207" s="281" t="str">
        <f>IF(C207&lt;&gt;"",1+MAX($A$6:A206),"")</f>
        <v/>
      </c>
      <c r="B207" s="288"/>
      <c r="C207" s="296"/>
      <c r="D207" s="284"/>
      <c r="E207" s="285"/>
      <c r="F207" s="285"/>
      <c r="G207" s="292"/>
      <c r="H207" s="292"/>
      <c r="I207" s="289"/>
      <c r="J207" s="293"/>
      <c r="N207" s="298"/>
    </row>
    <row r="208" spans="1:14" ht="21" x14ac:dyDescent="0.2">
      <c r="A208" s="281">
        <f>IF(C208&lt;&gt;"",1+MAX($A$6:A207),"")</f>
        <v>157</v>
      </c>
      <c r="B208" s="288" t="s">
        <v>274</v>
      </c>
      <c r="C208" s="283">
        <v>53</v>
      </c>
      <c r="D208" s="290" t="s">
        <v>20</v>
      </c>
      <c r="E208" s="285">
        <f t="shared" ref="E208:F208" si="142">E$12</f>
        <v>0</v>
      </c>
      <c r="F208" s="285">
        <f t="shared" si="142"/>
        <v>0</v>
      </c>
      <c r="G208" s="292">
        <f t="shared" ref="G208:G214" si="143">E208*C208</f>
        <v>0</v>
      </c>
      <c r="H208" s="292">
        <f t="shared" ref="H208:H214" si="144">F208*C208</f>
        <v>0</v>
      </c>
      <c r="I208" s="289">
        <f t="shared" ref="I208:I214" si="145">H208+G208</f>
        <v>0</v>
      </c>
      <c r="J208" s="293" t="s">
        <v>271</v>
      </c>
    </row>
    <row r="209" spans="1:14" ht="21" x14ac:dyDescent="0.2">
      <c r="A209" s="281">
        <f>IF(C209&lt;&gt;"",1+MAX($A$6:A208),"")</f>
        <v>158</v>
      </c>
      <c r="B209" s="288" t="s">
        <v>281</v>
      </c>
      <c r="C209" s="283">
        <v>4</v>
      </c>
      <c r="D209" s="290" t="s">
        <v>20</v>
      </c>
      <c r="E209" s="285">
        <f t="shared" ref="E209:F209" si="146">E$22</f>
        <v>0</v>
      </c>
      <c r="F209" s="285">
        <f t="shared" si="146"/>
        <v>0</v>
      </c>
      <c r="G209" s="292">
        <f t="shared" si="143"/>
        <v>0</v>
      </c>
      <c r="H209" s="292">
        <f t="shared" si="144"/>
        <v>0</v>
      </c>
      <c r="I209" s="289">
        <f t="shared" si="145"/>
        <v>0</v>
      </c>
      <c r="J209" s="293" t="s">
        <v>271</v>
      </c>
    </row>
    <row r="210" spans="1:14" ht="21" x14ac:dyDescent="0.2">
      <c r="A210" s="281">
        <f>IF(C210&lt;&gt;"",1+MAX($A$6:A209),"")</f>
        <v>159</v>
      </c>
      <c r="B210" s="288" t="s">
        <v>288</v>
      </c>
      <c r="C210" s="283">
        <v>1220</v>
      </c>
      <c r="D210" s="284" t="s">
        <v>20</v>
      </c>
      <c r="E210" s="285">
        <f t="shared" ref="E210:F210" si="147">E$40</f>
        <v>0</v>
      </c>
      <c r="F210" s="285">
        <f t="shared" si="147"/>
        <v>0</v>
      </c>
      <c r="G210" s="292">
        <f t="shared" si="143"/>
        <v>0</v>
      </c>
      <c r="H210" s="292">
        <f t="shared" si="144"/>
        <v>0</v>
      </c>
      <c r="I210" s="289">
        <f t="shared" si="145"/>
        <v>0</v>
      </c>
      <c r="J210" s="293" t="s">
        <v>273</v>
      </c>
    </row>
    <row r="211" spans="1:14" ht="21" x14ac:dyDescent="0.2">
      <c r="A211" s="281">
        <f>IF(C211&lt;&gt;"",1+MAX($A$6:A210),"")</f>
        <v>160</v>
      </c>
      <c r="B211" s="288" t="s">
        <v>336</v>
      </c>
      <c r="C211" s="283">
        <v>82</v>
      </c>
      <c r="D211" s="284" t="s">
        <v>20</v>
      </c>
      <c r="E211" s="285">
        <f t="shared" ref="E211:F211" si="148">E$96</f>
        <v>0</v>
      </c>
      <c r="F211" s="285">
        <f t="shared" si="148"/>
        <v>0</v>
      </c>
      <c r="G211" s="292">
        <f t="shared" si="143"/>
        <v>0</v>
      </c>
      <c r="H211" s="292">
        <f t="shared" si="144"/>
        <v>0</v>
      </c>
      <c r="I211" s="289">
        <f t="shared" si="145"/>
        <v>0</v>
      </c>
      <c r="J211" s="293" t="s">
        <v>273</v>
      </c>
    </row>
    <row r="212" spans="1:14" ht="21" x14ac:dyDescent="0.2">
      <c r="A212" s="281">
        <f>IF(C212&lt;&gt;"",1+MAX($A$6:A211),"")</f>
        <v>161</v>
      </c>
      <c r="B212" s="288" t="s">
        <v>274</v>
      </c>
      <c r="C212" s="283">
        <v>159</v>
      </c>
      <c r="D212" s="284" t="s">
        <v>20</v>
      </c>
      <c r="E212" s="285">
        <f t="shared" ref="E212:F212" si="149">E$12</f>
        <v>0</v>
      </c>
      <c r="F212" s="285">
        <f t="shared" si="149"/>
        <v>0</v>
      </c>
      <c r="G212" s="292">
        <f t="shared" si="143"/>
        <v>0</v>
      </c>
      <c r="H212" s="292">
        <f t="shared" si="144"/>
        <v>0</v>
      </c>
      <c r="I212" s="289">
        <f t="shared" si="145"/>
        <v>0</v>
      </c>
      <c r="J212" s="293" t="s">
        <v>275</v>
      </c>
    </row>
    <row r="213" spans="1:14" ht="21" x14ac:dyDescent="0.2">
      <c r="A213" s="281">
        <f>IF(C213&lt;&gt;"",1+MAX($A$6:A212),"")</f>
        <v>162</v>
      </c>
      <c r="B213" s="288" t="s">
        <v>281</v>
      </c>
      <c r="C213" s="283">
        <v>12</v>
      </c>
      <c r="D213" s="284" t="s">
        <v>20</v>
      </c>
      <c r="E213" s="285">
        <f t="shared" ref="E213:F213" si="150">E$22</f>
        <v>0</v>
      </c>
      <c r="F213" s="285">
        <f t="shared" si="150"/>
        <v>0</v>
      </c>
      <c r="G213" s="292">
        <f t="shared" si="143"/>
        <v>0</v>
      </c>
      <c r="H213" s="292">
        <f t="shared" si="144"/>
        <v>0</v>
      </c>
      <c r="I213" s="289">
        <f t="shared" si="145"/>
        <v>0</v>
      </c>
      <c r="J213" s="293" t="s">
        <v>275</v>
      </c>
    </row>
    <row r="214" spans="1:14" ht="21" x14ac:dyDescent="0.2">
      <c r="A214" s="281">
        <f>IF(C214&lt;&gt;"",1+MAX($A$6:A213),"")</f>
        <v>163</v>
      </c>
      <c r="B214" s="288" t="s">
        <v>276</v>
      </c>
      <c r="C214" s="283">
        <v>251</v>
      </c>
      <c r="D214" s="284" t="s">
        <v>20</v>
      </c>
      <c r="E214" s="285">
        <f t="shared" ref="E214:F214" si="151">E$13</f>
        <v>0</v>
      </c>
      <c r="F214" s="285">
        <f t="shared" si="151"/>
        <v>0</v>
      </c>
      <c r="G214" s="292">
        <f t="shared" si="143"/>
        <v>0</v>
      </c>
      <c r="H214" s="292">
        <f t="shared" si="144"/>
        <v>0</v>
      </c>
      <c r="I214" s="289">
        <f t="shared" si="145"/>
        <v>0</v>
      </c>
      <c r="J214" s="293" t="s">
        <v>282</v>
      </c>
    </row>
    <row r="215" spans="1:14" ht="21" x14ac:dyDescent="0.2">
      <c r="A215" s="281" t="str">
        <f>IF(C215&lt;&gt;"",1+MAX($A$6:A214),"")</f>
        <v/>
      </c>
      <c r="B215" s="295"/>
      <c r="C215" s="296"/>
      <c r="D215" s="284"/>
      <c r="E215" s="285"/>
      <c r="F215" s="285"/>
      <c r="G215" s="292"/>
      <c r="H215" s="292"/>
      <c r="I215" s="289"/>
      <c r="J215" s="293"/>
      <c r="N215" s="298"/>
    </row>
    <row r="216" spans="1:14" ht="21" x14ac:dyDescent="0.2">
      <c r="A216" s="281" t="str">
        <f>IF(C216&lt;&gt;"",1+MAX($A$6:A215),"")</f>
        <v/>
      </c>
      <c r="B216" s="299" t="s">
        <v>358</v>
      </c>
      <c r="C216" s="296"/>
      <c r="D216" s="284"/>
      <c r="E216" s="285"/>
      <c r="F216" s="285"/>
      <c r="G216" s="292"/>
      <c r="H216" s="292"/>
      <c r="I216" s="289"/>
      <c r="J216" s="293"/>
      <c r="N216" s="298"/>
    </row>
    <row r="217" spans="1:14" ht="21" x14ac:dyDescent="0.2">
      <c r="A217" s="281" t="str">
        <f>IF(C217&lt;&gt;"",1+MAX($A$6:A216),"")</f>
        <v/>
      </c>
      <c r="B217" s="300"/>
      <c r="C217" s="296"/>
      <c r="D217" s="284"/>
      <c r="E217" s="285"/>
      <c r="F217" s="285"/>
      <c r="G217" s="292"/>
      <c r="H217" s="292"/>
      <c r="I217" s="289"/>
      <c r="J217" s="293"/>
    </row>
    <row r="218" spans="1:14" ht="21" x14ac:dyDescent="0.2">
      <c r="A218" s="281">
        <f>IF(C218&lt;&gt;"",1+MAX($A$6:A217),"")</f>
        <v>164</v>
      </c>
      <c r="B218" s="288" t="s">
        <v>274</v>
      </c>
      <c r="C218" s="283">
        <v>24</v>
      </c>
      <c r="D218" s="284" t="s">
        <v>20</v>
      </c>
      <c r="E218" s="285">
        <f t="shared" ref="E218:F218" si="152">E$12</f>
        <v>0</v>
      </c>
      <c r="F218" s="285">
        <f t="shared" si="152"/>
        <v>0</v>
      </c>
      <c r="G218" s="292">
        <f t="shared" ref="G218:G224" si="153">E218*C218</f>
        <v>0</v>
      </c>
      <c r="H218" s="292">
        <f t="shared" ref="H218:H224" si="154">F218*C218</f>
        <v>0</v>
      </c>
      <c r="I218" s="289">
        <f t="shared" ref="I218:I224" si="155">H218+G218</f>
        <v>0</v>
      </c>
      <c r="J218" s="293" t="s">
        <v>271</v>
      </c>
    </row>
    <row r="219" spans="1:14" ht="21" x14ac:dyDescent="0.2">
      <c r="A219" s="281">
        <f>IF(C219&lt;&gt;"",1+MAX($A$6:A218),"")</f>
        <v>165</v>
      </c>
      <c r="B219" s="288" t="s">
        <v>281</v>
      </c>
      <c r="C219" s="283">
        <v>5</v>
      </c>
      <c r="D219" s="284" t="s">
        <v>20</v>
      </c>
      <c r="E219" s="285">
        <f t="shared" ref="E219:F219" si="156">E$22</f>
        <v>0</v>
      </c>
      <c r="F219" s="285">
        <f t="shared" si="156"/>
        <v>0</v>
      </c>
      <c r="G219" s="292">
        <f t="shared" si="153"/>
        <v>0</v>
      </c>
      <c r="H219" s="292">
        <f t="shared" si="154"/>
        <v>0</v>
      </c>
      <c r="I219" s="289">
        <f t="shared" si="155"/>
        <v>0</v>
      </c>
      <c r="J219" s="293" t="s">
        <v>271</v>
      </c>
    </row>
    <row r="220" spans="1:14" ht="21" x14ac:dyDescent="0.2">
      <c r="A220" s="281">
        <f>IF(C220&lt;&gt;"",1+MAX($A$6:A219),"")</f>
        <v>166</v>
      </c>
      <c r="B220" s="288" t="s">
        <v>288</v>
      </c>
      <c r="C220" s="283">
        <v>516</v>
      </c>
      <c r="D220" s="284" t="s">
        <v>20</v>
      </c>
      <c r="E220" s="285">
        <f t="shared" ref="E220:F220" si="157">E$40</f>
        <v>0</v>
      </c>
      <c r="F220" s="285">
        <f t="shared" si="157"/>
        <v>0</v>
      </c>
      <c r="G220" s="292">
        <f t="shared" si="153"/>
        <v>0</v>
      </c>
      <c r="H220" s="292">
        <f t="shared" si="154"/>
        <v>0</v>
      </c>
      <c r="I220" s="289">
        <f t="shared" si="155"/>
        <v>0</v>
      </c>
      <c r="J220" s="293" t="s">
        <v>273</v>
      </c>
    </row>
    <row r="221" spans="1:14" ht="21" x14ac:dyDescent="0.2">
      <c r="A221" s="281">
        <f>IF(C221&lt;&gt;"",1+MAX($A$6:A220),"")</f>
        <v>167</v>
      </c>
      <c r="B221" s="288" t="s">
        <v>336</v>
      </c>
      <c r="C221" s="283">
        <v>67</v>
      </c>
      <c r="D221" s="284" t="s">
        <v>20</v>
      </c>
      <c r="E221" s="285">
        <f t="shared" ref="E221:F221" si="158">E$96</f>
        <v>0</v>
      </c>
      <c r="F221" s="285">
        <f t="shared" si="158"/>
        <v>0</v>
      </c>
      <c r="G221" s="292">
        <f t="shared" si="153"/>
        <v>0</v>
      </c>
      <c r="H221" s="292">
        <f t="shared" si="154"/>
        <v>0</v>
      </c>
      <c r="I221" s="289">
        <f t="shared" si="155"/>
        <v>0</v>
      </c>
      <c r="J221" s="293" t="s">
        <v>273</v>
      </c>
    </row>
    <row r="222" spans="1:14" ht="21" x14ac:dyDescent="0.2">
      <c r="A222" s="281">
        <f>IF(C222&lt;&gt;"",1+MAX($A$6:A221),"")</f>
        <v>168</v>
      </c>
      <c r="B222" s="288" t="s">
        <v>274</v>
      </c>
      <c r="C222" s="283">
        <v>72</v>
      </c>
      <c r="D222" s="284" t="s">
        <v>20</v>
      </c>
      <c r="E222" s="285">
        <f t="shared" ref="E222:F222" si="159">E$12</f>
        <v>0</v>
      </c>
      <c r="F222" s="285">
        <f t="shared" si="159"/>
        <v>0</v>
      </c>
      <c r="G222" s="292">
        <f t="shared" si="153"/>
        <v>0</v>
      </c>
      <c r="H222" s="292">
        <f t="shared" si="154"/>
        <v>0</v>
      </c>
      <c r="I222" s="289">
        <f t="shared" si="155"/>
        <v>0</v>
      </c>
      <c r="J222" s="293" t="s">
        <v>284</v>
      </c>
    </row>
    <row r="223" spans="1:14" ht="21" x14ac:dyDescent="0.2">
      <c r="A223" s="281">
        <f>IF(C223&lt;&gt;"",1+MAX($A$6:A222),"")</f>
        <v>169</v>
      </c>
      <c r="B223" s="288" t="s">
        <v>281</v>
      </c>
      <c r="C223" s="283">
        <v>15</v>
      </c>
      <c r="D223" s="284" t="s">
        <v>20</v>
      </c>
      <c r="E223" s="285">
        <f t="shared" ref="E223:F223" si="160">E$22</f>
        <v>0</v>
      </c>
      <c r="F223" s="285">
        <f t="shared" si="160"/>
        <v>0</v>
      </c>
      <c r="G223" s="292">
        <f t="shared" si="153"/>
        <v>0</v>
      </c>
      <c r="H223" s="292">
        <f t="shared" si="154"/>
        <v>0</v>
      </c>
      <c r="I223" s="289">
        <f t="shared" si="155"/>
        <v>0</v>
      </c>
      <c r="J223" s="293" t="s">
        <v>284</v>
      </c>
    </row>
    <row r="224" spans="1:14" ht="21" x14ac:dyDescent="0.2">
      <c r="A224" s="281">
        <f>IF(C224&lt;&gt;"",1+MAX($A$6:A223),"")</f>
        <v>170</v>
      </c>
      <c r="B224" s="288" t="s">
        <v>276</v>
      </c>
      <c r="C224" s="283">
        <v>126</v>
      </c>
      <c r="D224" s="284" t="s">
        <v>20</v>
      </c>
      <c r="E224" s="285">
        <f t="shared" ref="E224:F224" si="161">E$13</f>
        <v>0</v>
      </c>
      <c r="F224" s="285">
        <f t="shared" si="161"/>
        <v>0</v>
      </c>
      <c r="G224" s="292">
        <f t="shared" si="153"/>
        <v>0</v>
      </c>
      <c r="H224" s="292">
        <f t="shared" si="154"/>
        <v>0</v>
      </c>
      <c r="I224" s="289">
        <f t="shared" si="155"/>
        <v>0</v>
      </c>
      <c r="J224" s="293" t="s">
        <v>339</v>
      </c>
    </row>
    <row r="225" spans="1:14" ht="21" x14ac:dyDescent="0.2">
      <c r="A225" s="281" t="str">
        <f>IF(C225&lt;&gt;"",1+MAX($A$6:A224),"")</f>
        <v/>
      </c>
      <c r="B225" s="288"/>
      <c r="C225" s="296"/>
      <c r="D225" s="284"/>
      <c r="E225" s="285"/>
      <c r="F225" s="285"/>
      <c r="G225" s="292"/>
      <c r="H225" s="292"/>
      <c r="I225" s="289"/>
      <c r="J225" s="293"/>
    </row>
    <row r="226" spans="1:14" ht="21" x14ac:dyDescent="0.2">
      <c r="A226" s="281" t="str">
        <f>IF(C226&lt;&gt;"",1+MAX($A$6:A225),"")</f>
        <v/>
      </c>
      <c r="B226" s="282" t="s">
        <v>359</v>
      </c>
      <c r="C226" s="296"/>
      <c r="D226" s="284"/>
      <c r="E226" s="285"/>
      <c r="F226" s="285"/>
      <c r="G226" s="292"/>
      <c r="H226" s="292"/>
      <c r="I226" s="289"/>
      <c r="J226" s="293"/>
      <c r="N226" s="298"/>
    </row>
    <row r="227" spans="1:14" ht="21" x14ac:dyDescent="0.2">
      <c r="A227" s="281" t="str">
        <f>IF(C227&lt;&gt;"",1+MAX($A$6:A226),"")</f>
        <v/>
      </c>
      <c r="B227" s="288"/>
      <c r="C227" s="296"/>
      <c r="D227" s="284"/>
      <c r="E227" s="285"/>
      <c r="F227" s="285"/>
      <c r="G227" s="292"/>
      <c r="H227" s="292"/>
      <c r="I227" s="289"/>
      <c r="J227" s="293"/>
      <c r="N227" s="298"/>
    </row>
    <row r="228" spans="1:14" ht="21" x14ac:dyDescent="0.2">
      <c r="A228" s="281">
        <f>IF(C228&lt;&gt;"",1+MAX($A$6:A227),"")</f>
        <v>171</v>
      </c>
      <c r="B228" s="288" t="s">
        <v>289</v>
      </c>
      <c r="C228" s="283">
        <v>133</v>
      </c>
      <c r="D228" s="284" t="s">
        <v>20</v>
      </c>
      <c r="E228" s="285">
        <f t="shared" ref="E228:F228" si="162">E$41</f>
        <v>0</v>
      </c>
      <c r="F228" s="285">
        <f t="shared" si="162"/>
        <v>0</v>
      </c>
      <c r="G228" s="292">
        <f t="shared" ref="G228:G237" si="163">E228*C228</f>
        <v>0</v>
      </c>
      <c r="H228" s="292">
        <f t="shared" ref="H228:H237" si="164">F228*C228</f>
        <v>0</v>
      </c>
      <c r="I228" s="289">
        <f t="shared" ref="I228:I237" si="165">H228+G228</f>
        <v>0</v>
      </c>
      <c r="J228" s="293" t="s">
        <v>271</v>
      </c>
    </row>
    <row r="229" spans="1:14" ht="21" x14ac:dyDescent="0.2">
      <c r="A229" s="281">
        <f>IF(C229&lt;&gt;"",1+MAX($A$6:A228),"")</f>
        <v>172</v>
      </c>
      <c r="B229" s="288" t="s">
        <v>274</v>
      </c>
      <c r="C229" s="283">
        <v>15</v>
      </c>
      <c r="D229" s="284" t="s">
        <v>20</v>
      </c>
      <c r="E229" s="285">
        <f t="shared" ref="E229:F229" si="166">E$12</f>
        <v>0</v>
      </c>
      <c r="F229" s="285">
        <f t="shared" si="166"/>
        <v>0</v>
      </c>
      <c r="G229" s="292">
        <f t="shared" si="163"/>
        <v>0</v>
      </c>
      <c r="H229" s="292">
        <f t="shared" si="164"/>
        <v>0</v>
      </c>
      <c r="I229" s="289">
        <f t="shared" si="165"/>
        <v>0</v>
      </c>
      <c r="J229" s="293" t="s">
        <v>271</v>
      </c>
    </row>
    <row r="230" spans="1:14" ht="21" x14ac:dyDescent="0.2">
      <c r="A230" s="281">
        <f>IF(C230&lt;&gt;"",1+MAX($A$6:A229),"")</f>
        <v>173</v>
      </c>
      <c r="B230" s="288" t="s">
        <v>281</v>
      </c>
      <c r="C230" s="283">
        <v>3</v>
      </c>
      <c r="D230" s="284" t="s">
        <v>20</v>
      </c>
      <c r="E230" s="285">
        <f t="shared" ref="E230:F230" si="167">E$22</f>
        <v>0</v>
      </c>
      <c r="F230" s="285">
        <f t="shared" si="167"/>
        <v>0</v>
      </c>
      <c r="G230" s="292">
        <f t="shared" si="163"/>
        <v>0</v>
      </c>
      <c r="H230" s="292">
        <f t="shared" si="164"/>
        <v>0</v>
      </c>
      <c r="I230" s="289">
        <f t="shared" si="165"/>
        <v>0</v>
      </c>
      <c r="J230" s="293" t="s">
        <v>271</v>
      </c>
    </row>
    <row r="231" spans="1:14" ht="21" x14ac:dyDescent="0.2">
      <c r="A231" s="281">
        <f>IF(C231&lt;&gt;"",1+MAX($A$6:A230),"")</f>
        <v>174</v>
      </c>
      <c r="B231" s="288" t="s">
        <v>335</v>
      </c>
      <c r="C231" s="283">
        <v>3208</v>
      </c>
      <c r="D231" s="284" t="s">
        <v>20</v>
      </c>
      <c r="E231" s="285">
        <f t="shared" ref="E231:F231" si="168">E$94</f>
        <v>0</v>
      </c>
      <c r="F231" s="285">
        <f t="shared" si="168"/>
        <v>0</v>
      </c>
      <c r="G231" s="292">
        <f t="shared" si="163"/>
        <v>0</v>
      </c>
      <c r="H231" s="292">
        <f t="shared" si="164"/>
        <v>0</v>
      </c>
      <c r="I231" s="289">
        <f t="shared" si="165"/>
        <v>0</v>
      </c>
      <c r="J231" s="293" t="s">
        <v>273</v>
      </c>
    </row>
    <row r="232" spans="1:14" ht="21" x14ac:dyDescent="0.2">
      <c r="A232" s="281">
        <f>IF(C232&lt;&gt;"",1+MAX($A$6:A231),"")</f>
        <v>175</v>
      </c>
      <c r="B232" s="288" t="s">
        <v>288</v>
      </c>
      <c r="C232" s="283">
        <v>259</v>
      </c>
      <c r="D232" s="284" t="s">
        <v>20</v>
      </c>
      <c r="E232" s="285">
        <f t="shared" ref="E232:F232" si="169">E$40</f>
        <v>0</v>
      </c>
      <c r="F232" s="285">
        <f t="shared" si="169"/>
        <v>0</v>
      </c>
      <c r="G232" s="292">
        <f t="shared" si="163"/>
        <v>0</v>
      </c>
      <c r="H232" s="292">
        <f t="shared" si="164"/>
        <v>0</v>
      </c>
      <c r="I232" s="289">
        <f t="shared" si="165"/>
        <v>0</v>
      </c>
      <c r="J232" s="293" t="s">
        <v>273</v>
      </c>
    </row>
    <row r="233" spans="1:14" ht="21" x14ac:dyDescent="0.2">
      <c r="A233" s="281">
        <f>IF(C233&lt;&gt;"",1+MAX($A$6:A232),"")</f>
        <v>176</v>
      </c>
      <c r="B233" s="288" t="s">
        <v>336</v>
      </c>
      <c r="C233" s="283">
        <v>59</v>
      </c>
      <c r="D233" s="284" t="s">
        <v>20</v>
      </c>
      <c r="E233" s="285">
        <f t="shared" ref="E233:F233" si="170">E$96</f>
        <v>0</v>
      </c>
      <c r="F233" s="285">
        <f t="shared" si="170"/>
        <v>0</v>
      </c>
      <c r="G233" s="292">
        <f t="shared" si="163"/>
        <v>0</v>
      </c>
      <c r="H233" s="292">
        <f t="shared" si="164"/>
        <v>0</v>
      </c>
      <c r="I233" s="289">
        <f t="shared" si="165"/>
        <v>0</v>
      </c>
      <c r="J233" s="293" t="s">
        <v>273</v>
      </c>
    </row>
    <row r="234" spans="1:14" ht="21" x14ac:dyDescent="0.2">
      <c r="A234" s="281">
        <f>IF(C234&lt;&gt;"",1+MAX($A$6:A233),"")</f>
        <v>177</v>
      </c>
      <c r="B234" s="288" t="s">
        <v>289</v>
      </c>
      <c r="C234" s="283">
        <v>399</v>
      </c>
      <c r="D234" s="290" t="s">
        <v>20</v>
      </c>
      <c r="E234" s="285">
        <f t="shared" ref="E234:F234" si="171">E$41</f>
        <v>0</v>
      </c>
      <c r="F234" s="285">
        <f t="shared" si="171"/>
        <v>0</v>
      </c>
      <c r="G234" s="292">
        <f t="shared" si="163"/>
        <v>0</v>
      </c>
      <c r="H234" s="292">
        <f t="shared" si="164"/>
        <v>0</v>
      </c>
      <c r="I234" s="289">
        <f t="shared" si="165"/>
        <v>0</v>
      </c>
      <c r="J234" s="293" t="s">
        <v>275</v>
      </c>
    </row>
    <row r="235" spans="1:14" ht="21" x14ac:dyDescent="0.2">
      <c r="A235" s="281">
        <f>IF(C235&lt;&gt;"",1+MAX($A$6:A234),"")</f>
        <v>178</v>
      </c>
      <c r="B235" s="288" t="s">
        <v>274</v>
      </c>
      <c r="C235" s="283">
        <v>45</v>
      </c>
      <c r="D235" s="290" t="s">
        <v>20</v>
      </c>
      <c r="E235" s="285">
        <f t="shared" ref="E235:F235" si="172">E$12</f>
        <v>0</v>
      </c>
      <c r="F235" s="285">
        <f t="shared" si="172"/>
        <v>0</v>
      </c>
      <c r="G235" s="292">
        <f t="shared" si="163"/>
        <v>0</v>
      </c>
      <c r="H235" s="292">
        <f t="shared" si="164"/>
        <v>0</v>
      </c>
      <c r="I235" s="289">
        <f t="shared" si="165"/>
        <v>0</v>
      </c>
      <c r="J235" s="293" t="s">
        <v>275</v>
      </c>
    </row>
    <row r="236" spans="1:14" ht="21" x14ac:dyDescent="0.2">
      <c r="A236" s="281">
        <f>IF(C236&lt;&gt;"",1+MAX($A$6:A235),"")</f>
        <v>179</v>
      </c>
      <c r="B236" s="288" t="s">
        <v>281</v>
      </c>
      <c r="C236" s="283">
        <v>9</v>
      </c>
      <c r="D236" s="290" t="s">
        <v>20</v>
      </c>
      <c r="E236" s="285">
        <f t="shared" ref="E236:F236" si="173">E$22</f>
        <v>0</v>
      </c>
      <c r="F236" s="285">
        <f t="shared" si="173"/>
        <v>0</v>
      </c>
      <c r="G236" s="292">
        <f t="shared" si="163"/>
        <v>0</v>
      </c>
      <c r="H236" s="292">
        <f t="shared" si="164"/>
        <v>0</v>
      </c>
      <c r="I236" s="289">
        <f t="shared" si="165"/>
        <v>0</v>
      </c>
      <c r="J236" s="293" t="s">
        <v>275</v>
      </c>
    </row>
    <row r="237" spans="1:14" ht="21" x14ac:dyDescent="0.2">
      <c r="A237" s="281">
        <f>IF(C237&lt;&gt;"",1+MAX($A$6:A236),"")</f>
        <v>180</v>
      </c>
      <c r="B237" s="288" t="s">
        <v>276</v>
      </c>
      <c r="C237" s="283">
        <v>43</v>
      </c>
      <c r="D237" s="284" t="s">
        <v>20</v>
      </c>
      <c r="E237" s="285">
        <f t="shared" ref="E237:F237" si="174">E$13</f>
        <v>0</v>
      </c>
      <c r="F237" s="285">
        <f t="shared" si="174"/>
        <v>0</v>
      </c>
      <c r="G237" s="292">
        <f t="shared" si="163"/>
        <v>0</v>
      </c>
      <c r="H237" s="292">
        <f t="shared" si="164"/>
        <v>0</v>
      </c>
      <c r="I237" s="289">
        <f t="shared" si="165"/>
        <v>0</v>
      </c>
      <c r="J237" s="293" t="s">
        <v>282</v>
      </c>
    </row>
    <row r="238" spans="1:14" ht="21" x14ac:dyDescent="0.2">
      <c r="A238" s="281" t="str">
        <f>IF(C238&lt;&gt;"",1+MAX($A$6:A237),"")</f>
        <v/>
      </c>
      <c r="B238" s="301"/>
      <c r="C238" s="302"/>
      <c r="D238" s="303"/>
      <c r="E238" s="285"/>
      <c r="F238" s="285"/>
      <c r="G238" s="285"/>
      <c r="H238" s="285"/>
      <c r="I238" s="289"/>
      <c r="J238" s="293"/>
    </row>
    <row r="239" spans="1:14" ht="21" x14ac:dyDescent="0.2">
      <c r="A239" s="281" t="str">
        <f>IF(C239&lt;&gt;"",1+MAX($A$6:A238),"")</f>
        <v/>
      </c>
      <c r="B239" s="282" t="s">
        <v>360</v>
      </c>
      <c r="C239" s="283"/>
      <c r="D239" s="284"/>
      <c r="E239" s="285"/>
      <c r="F239" s="285"/>
      <c r="G239" s="285"/>
      <c r="H239" s="285"/>
      <c r="I239" s="289"/>
      <c r="J239" s="293"/>
    </row>
    <row r="240" spans="1:14" ht="21" x14ac:dyDescent="0.2">
      <c r="A240" s="281" t="str">
        <f>IF(C240&lt;&gt;"",1+MAX($A$6:A239),"")</f>
        <v/>
      </c>
      <c r="B240" s="288"/>
      <c r="C240" s="283"/>
      <c r="D240" s="284"/>
      <c r="E240" s="285"/>
      <c r="F240" s="285"/>
      <c r="G240" s="292"/>
      <c r="H240" s="292"/>
      <c r="I240" s="289"/>
      <c r="J240" s="293"/>
    </row>
    <row r="241" spans="1:10" ht="21" x14ac:dyDescent="0.2">
      <c r="A241" s="281">
        <f>IF(C241&lt;&gt;"",1+MAX($A$6:A240),"")</f>
        <v>181</v>
      </c>
      <c r="B241" s="288" t="s">
        <v>274</v>
      </c>
      <c r="C241" s="283">
        <v>13</v>
      </c>
      <c r="D241" s="290" t="s">
        <v>20</v>
      </c>
      <c r="E241" s="285">
        <f t="shared" ref="E241:F241" si="175">E$12</f>
        <v>0</v>
      </c>
      <c r="F241" s="285">
        <f t="shared" si="175"/>
        <v>0</v>
      </c>
      <c r="G241" s="292">
        <f t="shared" ref="G241:G244" si="176">E241*C241</f>
        <v>0</v>
      </c>
      <c r="H241" s="292">
        <f t="shared" ref="H241:H244" si="177">F241*C241</f>
        <v>0</v>
      </c>
      <c r="I241" s="289">
        <f t="shared" ref="I241:I244" si="178">H241+G241</f>
        <v>0</v>
      </c>
      <c r="J241" s="293" t="s">
        <v>271</v>
      </c>
    </row>
    <row r="242" spans="1:10" ht="21" x14ac:dyDescent="0.2">
      <c r="A242" s="281">
        <f>IF(C242&lt;&gt;"",1+MAX($A$6:A241),"")</f>
        <v>182</v>
      </c>
      <c r="B242" s="288" t="s">
        <v>343</v>
      </c>
      <c r="C242" s="283">
        <v>89</v>
      </c>
      <c r="D242" s="284" t="s">
        <v>20</v>
      </c>
      <c r="E242" s="285">
        <f t="shared" ref="E242:F242" si="179">E$147</f>
        <v>0</v>
      </c>
      <c r="F242" s="285">
        <f t="shared" si="179"/>
        <v>0</v>
      </c>
      <c r="G242" s="292">
        <f t="shared" si="176"/>
        <v>0</v>
      </c>
      <c r="H242" s="292">
        <f t="shared" si="177"/>
        <v>0</v>
      </c>
      <c r="I242" s="289">
        <f t="shared" si="178"/>
        <v>0</v>
      </c>
      <c r="J242" s="293" t="s">
        <v>273</v>
      </c>
    </row>
    <row r="243" spans="1:10" ht="21" x14ac:dyDescent="0.2">
      <c r="A243" s="281">
        <f>IF(C243&lt;&gt;"",1+MAX($A$6:A242),"")</f>
        <v>183</v>
      </c>
      <c r="B243" s="288" t="s">
        <v>274</v>
      </c>
      <c r="C243" s="283">
        <v>26</v>
      </c>
      <c r="D243" s="284" t="s">
        <v>20</v>
      </c>
      <c r="E243" s="285">
        <f t="shared" ref="E243:F243" si="180">E$12</f>
        <v>0</v>
      </c>
      <c r="F243" s="285">
        <f t="shared" si="180"/>
        <v>0</v>
      </c>
      <c r="G243" s="292">
        <f t="shared" si="176"/>
        <v>0</v>
      </c>
      <c r="H243" s="292">
        <f t="shared" si="177"/>
        <v>0</v>
      </c>
      <c r="I243" s="289">
        <f t="shared" si="178"/>
        <v>0</v>
      </c>
      <c r="J243" s="293" t="s">
        <v>275</v>
      </c>
    </row>
    <row r="244" spans="1:10" ht="21" x14ac:dyDescent="0.2">
      <c r="A244" s="281">
        <f>IF(C244&lt;&gt;"",1+MAX($A$6:A243),"")</f>
        <v>184</v>
      </c>
      <c r="B244" s="288" t="s">
        <v>276</v>
      </c>
      <c r="C244" s="283">
        <v>49</v>
      </c>
      <c r="D244" s="284" t="s">
        <v>20</v>
      </c>
      <c r="E244" s="285">
        <f t="shared" ref="E244:F244" si="181">E$13</f>
        <v>0</v>
      </c>
      <c r="F244" s="285">
        <f t="shared" si="181"/>
        <v>0</v>
      </c>
      <c r="G244" s="292">
        <f t="shared" si="176"/>
        <v>0</v>
      </c>
      <c r="H244" s="292">
        <f t="shared" si="177"/>
        <v>0</v>
      </c>
      <c r="I244" s="289">
        <f t="shared" si="178"/>
        <v>0</v>
      </c>
      <c r="J244" s="293" t="s">
        <v>277</v>
      </c>
    </row>
    <row r="245" spans="1:10" ht="21" x14ac:dyDescent="0.2">
      <c r="A245" s="281" t="str">
        <f>IF(C245&lt;&gt;"",1+MAX($A$6:A244),"")</f>
        <v/>
      </c>
      <c r="B245" s="288"/>
      <c r="C245" s="296"/>
      <c r="D245" s="284"/>
      <c r="E245" s="285"/>
      <c r="F245" s="285"/>
      <c r="G245" s="285"/>
      <c r="H245" s="285"/>
      <c r="I245" s="289"/>
      <c r="J245" s="293"/>
    </row>
    <row r="246" spans="1:10" ht="21" x14ac:dyDescent="0.2">
      <c r="A246" s="281" t="str">
        <f>IF(C246&lt;&gt;"",1+MAX($A$6:A245),"")</f>
        <v/>
      </c>
      <c r="B246" s="282" t="s">
        <v>361</v>
      </c>
      <c r="C246" s="296"/>
      <c r="D246" s="284"/>
      <c r="E246" s="285"/>
      <c r="F246" s="285"/>
      <c r="G246" s="292"/>
      <c r="H246" s="292"/>
      <c r="I246" s="289"/>
      <c r="J246" s="293"/>
    </row>
    <row r="247" spans="1:10" ht="21" x14ac:dyDescent="0.2">
      <c r="A247" s="281" t="str">
        <f>IF(C247&lt;&gt;"",1+MAX($A$6:A246),"")</f>
        <v/>
      </c>
      <c r="B247" s="288"/>
      <c r="C247" s="296"/>
      <c r="D247" s="284"/>
      <c r="E247" s="285"/>
      <c r="F247" s="285"/>
      <c r="G247" s="292"/>
      <c r="H247" s="292"/>
      <c r="I247" s="289"/>
      <c r="J247" s="293"/>
    </row>
    <row r="248" spans="1:10" ht="21" x14ac:dyDescent="0.2">
      <c r="A248" s="281">
        <f>IF(C248&lt;&gt;"",1+MAX($A$6:A247),"")</f>
        <v>185</v>
      </c>
      <c r="B248" s="288" t="s">
        <v>291</v>
      </c>
      <c r="C248" s="283">
        <v>29</v>
      </c>
      <c r="D248" s="284" t="s">
        <v>20</v>
      </c>
      <c r="E248" s="285">
        <f t="shared" ref="E248:F248" si="182">E$47</f>
        <v>0</v>
      </c>
      <c r="F248" s="285">
        <f t="shared" si="182"/>
        <v>0</v>
      </c>
      <c r="G248" s="292">
        <f t="shared" ref="G248:G260" si="183">E248*C248</f>
        <v>0</v>
      </c>
      <c r="H248" s="292">
        <f t="shared" ref="H248:H260" si="184">F248*C248</f>
        <v>0</v>
      </c>
      <c r="I248" s="289">
        <f t="shared" ref="I248:I260" si="185">H248+G248</f>
        <v>0</v>
      </c>
      <c r="J248" s="293" t="s">
        <v>292</v>
      </c>
    </row>
    <row r="249" spans="1:10" ht="21" x14ac:dyDescent="0.2">
      <c r="A249" s="281">
        <f>IF(C249&lt;&gt;"",1+MAX($A$6:A248),"")</f>
        <v>186</v>
      </c>
      <c r="B249" s="288" t="s">
        <v>362</v>
      </c>
      <c r="C249" s="283">
        <v>1</v>
      </c>
      <c r="D249" s="284" t="s">
        <v>20</v>
      </c>
      <c r="E249" s="291">
        <v>0</v>
      </c>
      <c r="F249" s="291">
        <v>0</v>
      </c>
      <c r="G249" s="292">
        <f t="shared" si="183"/>
        <v>0</v>
      </c>
      <c r="H249" s="292">
        <f t="shared" si="184"/>
        <v>0</v>
      </c>
      <c r="I249" s="289">
        <f t="shared" si="185"/>
        <v>0</v>
      </c>
      <c r="J249" s="293" t="s">
        <v>292</v>
      </c>
    </row>
    <row r="250" spans="1:10" ht="21" x14ac:dyDescent="0.2">
      <c r="A250" s="281">
        <f>IF(C250&lt;&gt;"",1+MAX($A$6:A249),"")</f>
        <v>187</v>
      </c>
      <c r="B250" s="288" t="s">
        <v>363</v>
      </c>
      <c r="C250" s="283">
        <v>2</v>
      </c>
      <c r="D250" s="284" t="s">
        <v>20</v>
      </c>
      <c r="E250" s="291">
        <v>0</v>
      </c>
      <c r="F250" s="291">
        <v>0</v>
      </c>
      <c r="G250" s="292">
        <f t="shared" si="183"/>
        <v>0</v>
      </c>
      <c r="H250" s="292">
        <f t="shared" si="184"/>
        <v>0</v>
      </c>
      <c r="I250" s="289">
        <f t="shared" si="185"/>
        <v>0</v>
      </c>
      <c r="J250" s="293" t="s">
        <v>292</v>
      </c>
    </row>
    <row r="251" spans="1:10" ht="21" x14ac:dyDescent="0.2">
      <c r="A251" s="281">
        <f>IF(C251&lt;&gt;"",1+MAX($A$6:A250),"")</f>
        <v>188</v>
      </c>
      <c r="B251" s="288" t="s">
        <v>293</v>
      </c>
      <c r="C251" s="283">
        <v>17</v>
      </c>
      <c r="D251" s="284" t="s">
        <v>20</v>
      </c>
      <c r="E251" s="285">
        <f t="shared" ref="E251:F251" si="186">E$48</f>
        <v>0</v>
      </c>
      <c r="F251" s="285">
        <f t="shared" si="186"/>
        <v>0</v>
      </c>
      <c r="G251" s="292">
        <f t="shared" si="183"/>
        <v>0</v>
      </c>
      <c r="H251" s="292">
        <f t="shared" si="184"/>
        <v>0</v>
      </c>
      <c r="I251" s="289">
        <f t="shared" si="185"/>
        <v>0</v>
      </c>
      <c r="J251" s="293" t="s">
        <v>292</v>
      </c>
    </row>
    <row r="252" spans="1:10" ht="21" x14ac:dyDescent="0.2">
      <c r="A252" s="281">
        <f>IF(C252&lt;&gt;"",1+MAX($A$6:A251),"")</f>
        <v>189</v>
      </c>
      <c r="B252" s="288" t="s">
        <v>345</v>
      </c>
      <c r="C252" s="283">
        <v>2</v>
      </c>
      <c r="D252" s="284" t="s">
        <v>20</v>
      </c>
      <c r="E252" s="285">
        <f t="shared" ref="E252:F252" si="187">E$154</f>
        <v>0</v>
      </c>
      <c r="F252" s="285">
        <f t="shared" si="187"/>
        <v>0</v>
      </c>
      <c r="G252" s="292">
        <f t="shared" si="183"/>
        <v>0</v>
      </c>
      <c r="H252" s="292">
        <f t="shared" si="184"/>
        <v>0</v>
      </c>
      <c r="I252" s="289">
        <f t="shared" si="185"/>
        <v>0</v>
      </c>
      <c r="J252" s="293" t="s">
        <v>292</v>
      </c>
    </row>
    <row r="253" spans="1:10" ht="21" x14ac:dyDescent="0.2">
      <c r="A253" s="281">
        <f>IF(C253&lt;&gt;"",1+MAX($A$6:A252),"")</f>
        <v>190</v>
      </c>
      <c r="B253" s="288" t="s">
        <v>293</v>
      </c>
      <c r="C253" s="283">
        <v>9</v>
      </c>
      <c r="D253" s="284" t="s">
        <v>20</v>
      </c>
      <c r="E253" s="285">
        <f t="shared" ref="E253:F253" si="188">E$48</f>
        <v>0</v>
      </c>
      <c r="F253" s="285">
        <f t="shared" si="188"/>
        <v>0</v>
      </c>
      <c r="G253" s="292">
        <f t="shared" si="183"/>
        <v>0</v>
      </c>
      <c r="H253" s="292">
        <f t="shared" si="184"/>
        <v>0</v>
      </c>
      <c r="I253" s="289">
        <f t="shared" si="185"/>
        <v>0</v>
      </c>
      <c r="J253" s="293" t="s">
        <v>292</v>
      </c>
    </row>
    <row r="254" spans="1:10" ht="21" x14ac:dyDescent="0.2">
      <c r="A254" s="281">
        <f>IF(C254&lt;&gt;"",1+MAX($A$6:A253),"")</f>
        <v>191</v>
      </c>
      <c r="B254" s="288" t="s">
        <v>295</v>
      </c>
      <c r="C254" s="283">
        <v>10</v>
      </c>
      <c r="D254" s="284" t="s">
        <v>20</v>
      </c>
      <c r="E254" s="285">
        <f t="shared" ref="E254:F254" si="189">E$51</f>
        <v>0</v>
      </c>
      <c r="F254" s="285">
        <f t="shared" si="189"/>
        <v>0</v>
      </c>
      <c r="G254" s="292">
        <f t="shared" si="183"/>
        <v>0</v>
      </c>
      <c r="H254" s="292">
        <f t="shared" si="184"/>
        <v>0</v>
      </c>
      <c r="I254" s="289">
        <f t="shared" si="185"/>
        <v>0</v>
      </c>
      <c r="J254" s="293" t="s">
        <v>292</v>
      </c>
    </row>
    <row r="255" spans="1:10" ht="21" x14ac:dyDescent="0.2">
      <c r="A255" s="281">
        <f>IF(C255&lt;&gt;"",1+MAX($A$6:A254),"")</f>
        <v>192</v>
      </c>
      <c r="B255" s="288" t="s">
        <v>296</v>
      </c>
      <c r="C255" s="283">
        <v>10</v>
      </c>
      <c r="D255" s="284" t="s">
        <v>20</v>
      </c>
      <c r="E255" s="285">
        <f t="shared" ref="E255:F255" si="190">E$52</f>
        <v>0</v>
      </c>
      <c r="F255" s="285">
        <f t="shared" si="190"/>
        <v>0</v>
      </c>
      <c r="G255" s="292">
        <f t="shared" si="183"/>
        <v>0</v>
      </c>
      <c r="H255" s="292">
        <f t="shared" si="184"/>
        <v>0</v>
      </c>
      <c r="I255" s="289">
        <f t="shared" si="185"/>
        <v>0</v>
      </c>
      <c r="J255" s="293" t="s">
        <v>292</v>
      </c>
    </row>
    <row r="256" spans="1:10" ht="21" x14ac:dyDescent="0.2">
      <c r="A256" s="281">
        <f>IF(C256&lt;&gt;"",1+MAX($A$6:A255),"")</f>
        <v>193</v>
      </c>
      <c r="B256" s="288" t="s">
        <v>346</v>
      </c>
      <c r="C256" s="283">
        <v>32</v>
      </c>
      <c r="D256" s="284" t="s">
        <v>15</v>
      </c>
      <c r="E256" s="285">
        <f t="shared" ref="E256:F256" si="191">E$160</f>
        <v>0</v>
      </c>
      <c r="F256" s="285">
        <f t="shared" si="191"/>
        <v>0</v>
      </c>
      <c r="G256" s="292">
        <f t="shared" si="183"/>
        <v>0</v>
      </c>
      <c r="H256" s="292">
        <f t="shared" si="184"/>
        <v>0</v>
      </c>
      <c r="I256" s="289">
        <f t="shared" si="185"/>
        <v>0</v>
      </c>
      <c r="J256" s="293" t="s">
        <v>292</v>
      </c>
    </row>
    <row r="257" spans="1:10" ht="21" x14ac:dyDescent="0.2">
      <c r="A257" s="281">
        <f>IF(C257&lt;&gt;"",1+MAX($A$6:A256),"")</f>
        <v>194</v>
      </c>
      <c r="B257" s="288" t="s">
        <v>364</v>
      </c>
      <c r="C257" s="283">
        <v>128</v>
      </c>
      <c r="D257" s="284" t="s">
        <v>15</v>
      </c>
      <c r="E257" s="285">
        <f t="shared" ref="E257:F257" si="192">E$53</f>
        <v>0</v>
      </c>
      <c r="F257" s="285">
        <f t="shared" si="192"/>
        <v>0</v>
      </c>
      <c r="G257" s="292">
        <f t="shared" si="183"/>
        <v>0</v>
      </c>
      <c r="H257" s="292">
        <f t="shared" si="184"/>
        <v>0</v>
      </c>
      <c r="I257" s="289">
        <f t="shared" si="185"/>
        <v>0</v>
      </c>
      <c r="J257" s="293" t="s">
        <v>292</v>
      </c>
    </row>
    <row r="258" spans="1:10" ht="21" x14ac:dyDescent="0.2">
      <c r="A258" s="281">
        <f>IF(C258&lt;&gt;"",1+MAX($A$6:A257),"")</f>
        <v>195</v>
      </c>
      <c r="B258" s="288" t="s">
        <v>365</v>
      </c>
      <c r="C258" s="283">
        <v>128</v>
      </c>
      <c r="D258" s="284" t="s">
        <v>15</v>
      </c>
      <c r="E258" s="285">
        <f t="shared" ref="E258:F258" si="193">E$54</f>
        <v>0</v>
      </c>
      <c r="F258" s="285">
        <f t="shared" si="193"/>
        <v>0</v>
      </c>
      <c r="G258" s="292">
        <f t="shared" si="183"/>
        <v>0</v>
      </c>
      <c r="H258" s="292">
        <f t="shared" si="184"/>
        <v>0</v>
      </c>
      <c r="I258" s="289">
        <f t="shared" si="185"/>
        <v>0</v>
      </c>
      <c r="J258" s="293" t="s">
        <v>292</v>
      </c>
    </row>
    <row r="259" spans="1:10" ht="21" x14ac:dyDescent="0.2">
      <c r="A259" s="281">
        <f>IF(C259&lt;&gt;"",1+MAX($A$6:A258),"")</f>
        <v>196</v>
      </c>
      <c r="B259" s="288" t="s">
        <v>366</v>
      </c>
      <c r="C259" s="283">
        <v>176</v>
      </c>
      <c r="D259" s="284" t="s">
        <v>15</v>
      </c>
      <c r="E259" s="285">
        <f t="shared" ref="E259:F259" si="194">E$55</f>
        <v>0</v>
      </c>
      <c r="F259" s="285">
        <f t="shared" si="194"/>
        <v>0</v>
      </c>
      <c r="G259" s="292">
        <f t="shared" si="183"/>
        <v>0</v>
      </c>
      <c r="H259" s="292">
        <f t="shared" si="184"/>
        <v>0</v>
      </c>
      <c r="I259" s="289">
        <f t="shared" si="185"/>
        <v>0</v>
      </c>
      <c r="J259" s="293" t="s">
        <v>292</v>
      </c>
    </row>
    <row r="260" spans="1:10" ht="21" x14ac:dyDescent="0.2">
      <c r="A260" s="281">
        <f>IF(C260&lt;&gt;"",1+MAX($A$6:A259),"")</f>
        <v>197</v>
      </c>
      <c r="B260" s="288" t="s">
        <v>367</v>
      </c>
      <c r="C260" s="283">
        <v>2</v>
      </c>
      <c r="D260" s="284" t="s">
        <v>20</v>
      </c>
      <c r="E260" s="291">
        <v>0</v>
      </c>
      <c r="F260" s="291">
        <v>0</v>
      </c>
      <c r="G260" s="292">
        <f t="shared" si="183"/>
        <v>0</v>
      </c>
      <c r="H260" s="292">
        <f t="shared" si="184"/>
        <v>0</v>
      </c>
      <c r="I260" s="289">
        <f t="shared" si="185"/>
        <v>0</v>
      </c>
      <c r="J260" s="293" t="s">
        <v>292</v>
      </c>
    </row>
    <row r="261" spans="1:10" ht="21" x14ac:dyDescent="0.2">
      <c r="A261" s="281">
        <f>IF(C261&lt;&gt;"",1+MAX($A$6:A260),"")</f>
        <v>198</v>
      </c>
      <c r="B261" s="288" t="s">
        <v>368</v>
      </c>
      <c r="C261" s="283">
        <v>32</v>
      </c>
      <c r="D261" s="284" t="s">
        <v>15</v>
      </c>
      <c r="E261" s="285">
        <f t="shared" ref="E261:F261" si="195">E$164</f>
        <v>0</v>
      </c>
      <c r="F261" s="285">
        <f t="shared" si="195"/>
        <v>0</v>
      </c>
      <c r="G261" s="292">
        <f>E261*C261</f>
        <v>0</v>
      </c>
      <c r="H261" s="292">
        <f>F261*C261</f>
        <v>0</v>
      </c>
      <c r="I261" s="289">
        <f>H261+G261</f>
        <v>0</v>
      </c>
      <c r="J261" s="293" t="s">
        <v>292</v>
      </c>
    </row>
    <row r="262" spans="1:10" ht="21" x14ac:dyDescent="0.2">
      <c r="A262" s="281">
        <f>IF(C262&lt;&gt;"",1+MAX($A$6:A261),"")</f>
        <v>199</v>
      </c>
      <c r="B262" s="288" t="s">
        <v>302</v>
      </c>
      <c r="C262" s="283">
        <v>4</v>
      </c>
      <c r="D262" s="284" t="s">
        <v>20</v>
      </c>
      <c r="E262" s="285">
        <f t="shared" ref="E262:F262" si="196">E$58</f>
        <v>0</v>
      </c>
      <c r="F262" s="285">
        <f t="shared" si="196"/>
        <v>0</v>
      </c>
      <c r="G262" s="292">
        <f t="shared" ref="G262:G266" si="197">E262*C262</f>
        <v>0</v>
      </c>
      <c r="H262" s="292">
        <f t="shared" ref="H262:H266" si="198">F262*C262</f>
        <v>0</v>
      </c>
      <c r="I262" s="289">
        <f t="shared" ref="I262:I266" si="199">H262+G262</f>
        <v>0</v>
      </c>
      <c r="J262" s="293" t="s">
        <v>292</v>
      </c>
    </row>
    <row r="263" spans="1:10" ht="21" x14ac:dyDescent="0.2">
      <c r="A263" s="281">
        <f>IF(C263&lt;&gt;"",1+MAX($A$6:A262),"")</f>
        <v>200</v>
      </c>
      <c r="B263" s="288" t="s">
        <v>303</v>
      </c>
      <c r="C263" s="283">
        <v>9</v>
      </c>
      <c r="D263" s="284" t="s">
        <v>20</v>
      </c>
      <c r="E263" s="285">
        <f t="shared" ref="E263:F263" si="200">E$59</f>
        <v>0</v>
      </c>
      <c r="F263" s="285">
        <f t="shared" si="200"/>
        <v>0</v>
      </c>
      <c r="G263" s="292">
        <f t="shared" si="197"/>
        <v>0</v>
      </c>
      <c r="H263" s="292">
        <f t="shared" si="198"/>
        <v>0</v>
      </c>
      <c r="I263" s="289">
        <f t="shared" si="199"/>
        <v>0</v>
      </c>
      <c r="J263" s="293" t="s">
        <v>304</v>
      </c>
    </row>
    <row r="264" spans="1:10" ht="21" x14ac:dyDescent="0.2">
      <c r="A264" s="281">
        <f>IF(C264&lt;&gt;"",1+MAX($A$6:A263),"")</f>
        <v>201</v>
      </c>
      <c r="B264" s="288" t="s">
        <v>305</v>
      </c>
      <c r="C264" s="283">
        <v>121</v>
      </c>
      <c r="D264" s="284" t="s">
        <v>20</v>
      </c>
      <c r="E264" s="285">
        <f t="shared" ref="E264:F264" si="201">E$60</f>
        <v>0</v>
      </c>
      <c r="F264" s="285">
        <f t="shared" si="201"/>
        <v>0</v>
      </c>
      <c r="G264" s="292">
        <f t="shared" si="197"/>
        <v>0</v>
      </c>
      <c r="H264" s="292">
        <f t="shared" si="198"/>
        <v>0</v>
      </c>
      <c r="I264" s="289">
        <f t="shared" si="199"/>
        <v>0</v>
      </c>
      <c r="J264" s="293" t="s">
        <v>304</v>
      </c>
    </row>
    <row r="265" spans="1:10" ht="21" x14ac:dyDescent="0.2">
      <c r="A265" s="281">
        <f>IF(C265&lt;&gt;"",1+MAX($A$6:A264),"")</f>
        <v>202</v>
      </c>
      <c r="B265" s="288" t="s">
        <v>308</v>
      </c>
      <c r="C265" s="283">
        <v>56</v>
      </c>
      <c r="D265" s="284" t="s">
        <v>20</v>
      </c>
      <c r="E265" s="285">
        <f t="shared" ref="E265:F265" si="202">E$63</f>
        <v>0</v>
      </c>
      <c r="F265" s="285">
        <f t="shared" si="202"/>
        <v>0</v>
      </c>
      <c r="G265" s="292">
        <f t="shared" si="197"/>
        <v>0</v>
      </c>
      <c r="H265" s="292">
        <f t="shared" si="198"/>
        <v>0</v>
      </c>
      <c r="I265" s="289">
        <f t="shared" si="199"/>
        <v>0</v>
      </c>
      <c r="J265" s="293" t="s">
        <v>304</v>
      </c>
    </row>
    <row r="266" spans="1:10" ht="21" x14ac:dyDescent="0.2">
      <c r="A266" s="281">
        <f>IF(C266&lt;&gt;"",1+MAX($A$6:A265),"")</f>
        <v>203</v>
      </c>
      <c r="B266" s="288" t="s">
        <v>309</v>
      </c>
      <c r="C266" s="283">
        <v>1</v>
      </c>
      <c r="D266" s="284" t="s">
        <v>20</v>
      </c>
      <c r="E266" s="285">
        <f t="shared" ref="E266:F266" si="203">E$64</f>
        <v>0</v>
      </c>
      <c r="F266" s="285">
        <f t="shared" si="203"/>
        <v>0</v>
      </c>
      <c r="G266" s="292">
        <f t="shared" si="197"/>
        <v>0</v>
      </c>
      <c r="H266" s="292">
        <f t="shared" si="198"/>
        <v>0</v>
      </c>
      <c r="I266" s="289">
        <f t="shared" si="199"/>
        <v>0</v>
      </c>
      <c r="J266" s="293" t="s">
        <v>304</v>
      </c>
    </row>
    <row r="267" spans="1:10" ht="21" x14ac:dyDescent="0.2">
      <c r="A267" s="281" t="str">
        <f>IF(C267&lt;&gt;"",1+MAX($A$6:A266),"")</f>
        <v/>
      </c>
      <c r="B267" s="288"/>
      <c r="C267" s="296"/>
      <c r="D267" s="284"/>
      <c r="E267" s="285"/>
      <c r="F267" s="285"/>
      <c r="G267" s="285"/>
      <c r="H267" s="285"/>
      <c r="I267" s="289"/>
      <c r="J267" s="293"/>
    </row>
    <row r="268" spans="1:10" ht="21" x14ac:dyDescent="0.2">
      <c r="A268" s="281" t="str">
        <f>IF(C268&lt;&gt;"",1+MAX($A$6:A267),"")</f>
        <v/>
      </c>
      <c r="B268" s="282" t="s">
        <v>369</v>
      </c>
      <c r="C268" s="296"/>
      <c r="D268" s="284"/>
      <c r="E268" s="285"/>
      <c r="F268" s="285"/>
      <c r="G268" s="292"/>
      <c r="H268" s="292"/>
      <c r="I268" s="289"/>
      <c r="J268" s="293"/>
    </row>
    <row r="269" spans="1:10" ht="21" x14ac:dyDescent="0.2">
      <c r="A269" s="281" t="str">
        <f>IF(C269&lt;&gt;"",1+MAX($A$6:A268),"")</f>
        <v/>
      </c>
      <c r="B269" s="288"/>
      <c r="C269" s="296"/>
      <c r="D269" s="284"/>
      <c r="E269" s="285"/>
      <c r="F269" s="285"/>
      <c r="G269" s="292"/>
      <c r="H269" s="292"/>
      <c r="I269" s="289"/>
      <c r="J269" s="293"/>
    </row>
    <row r="270" spans="1:10" ht="21" x14ac:dyDescent="0.2">
      <c r="A270" s="281">
        <f>IF(C270&lt;&gt;"",1+MAX($A$6:A269),"")</f>
        <v>204</v>
      </c>
      <c r="B270" s="288" t="s">
        <v>289</v>
      </c>
      <c r="C270" s="283">
        <v>140</v>
      </c>
      <c r="D270" s="284" t="s">
        <v>20</v>
      </c>
      <c r="E270" s="285">
        <f t="shared" ref="E270:F270" si="204">E$41</f>
        <v>0</v>
      </c>
      <c r="F270" s="285">
        <f t="shared" si="204"/>
        <v>0</v>
      </c>
      <c r="G270" s="292">
        <f t="shared" ref="G270:G296" si="205">E270*C270</f>
        <v>0</v>
      </c>
      <c r="H270" s="292">
        <f t="shared" ref="H270:H296" si="206">F270*C270</f>
        <v>0</v>
      </c>
      <c r="I270" s="289">
        <f t="shared" ref="I270:I296" si="207">H270+G270</f>
        <v>0</v>
      </c>
      <c r="J270" s="293" t="s">
        <v>312</v>
      </c>
    </row>
    <row r="271" spans="1:10" ht="21" x14ac:dyDescent="0.2">
      <c r="A271" s="281">
        <f>IF(C271&lt;&gt;"",1+MAX($A$6:A270),"")</f>
        <v>205</v>
      </c>
      <c r="B271" s="288" t="s">
        <v>274</v>
      </c>
      <c r="C271" s="283">
        <v>113</v>
      </c>
      <c r="D271" s="284" t="s">
        <v>20</v>
      </c>
      <c r="E271" s="285">
        <f t="shared" ref="E271:F271" si="208">E$12</f>
        <v>0</v>
      </c>
      <c r="F271" s="285">
        <f t="shared" si="208"/>
        <v>0</v>
      </c>
      <c r="G271" s="292">
        <f t="shared" si="205"/>
        <v>0</v>
      </c>
      <c r="H271" s="292">
        <f t="shared" si="206"/>
        <v>0</v>
      </c>
      <c r="I271" s="289">
        <f t="shared" si="207"/>
        <v>0</v>
      </c>
      <c r="J271" s="293" t="s">
        <v>313</v>
      </c>
    </row>
    <row r="272" spans="1:10" ht="21" x14ac:dyDescent="0.2">
      <c r="A272" s="281">
        <f>IF(C272&lt;&gt;"",1+MAX($A$6:A271),"")</f>
        <v>206</v>
      </c>
      <c r="B272" s="288" t="s">
        <v>314</v>
      </c>
      <c r="C272" s="283">
        <v>46</v>
      </c>
      <c r="D272" s="284" t="s">
        <v>20</v>
      </c>
      <c r="E272" s="285">
        <f t="shared" ref="E272:F272" si="209">E$71</f>
        <v>0</v>
      </c>
      <c r="F272" s="285">
        <f t="shared" si="209"/>
        <v>0</v>
      </c>
      <c r="G272" s="292">
        <f t="shared" si="205"/>
        <v>0</v>
      </c>
      <c r="H272" s="292">
        <f t="shared" si="206"/>
        <v>0</v>
      </c>
      <c r="I272" s="289">
        <f t="shared" si="207"/>
        <v>0</v>
      </c>
      <c r="J272" s="293" t="s">
        <v>315</v>
      </c>
    </row>
    <row r="273" spans="1:10" ht="21" x14ac:dyDescent="0.2">
      <c r="A273" s="281">
        <f>IF(C273&lt;&gt;"",1+MAX($A$6:A272),"")</f>
        <v>207</v>
      </c>
      <c r="B273" s="288" t="s">
        <v>351</v>
      </c>
      <c r="C273" s="283">
        <v>29</v>
      </c>
      <c r="D273" s="284" t="s">
        <v>20</v>
      </c>
      <c r="E273" s="285">
        <f t="shared" ref="E273:F273" si="210">E$176</f>
        <v>0</v>
      </c>
      <c r="F273" s="285">
        <f t="shared" si="210"/>
        <v>0</v>
      </c>
      <c r="G273" s="292">
        <f t="shared" si="205"/>
        <v>0</v>
      </c>
      <c r="H273" s="292">
        <f t="shared" si="206"/>
        <v>0</v>
      </c>
      <c r="I273" s="289">
        <f t="shared" si="207"/>
        <v>0</v>
      </c>
      <c r="J273" s="293" t="s">
        <v>315</v>
      </c>
    </row>
    <row r="274" spans="1:10" ht="21" x14ac:dyDescent="0.2">
      <c r="A274" s="281">
        <f>IF(C274&lt;&gt;"",1+MAX($A$6:A273),"")</f>
        <v>208</v>
      </c>
      <c r="B274" s="288" t="s">
        <v>316</v>
      </c>
      <c r="C274" s="283">
        <v>97</v>
      </c>
      <c r="D274" s="284" t="s">
        <v>20</v>
      </c>
      <c r="E274" s="285">
        <f t="shared" ref="E274:F274" si="211">E$72</f>
        <v>0</v>
      </c>
      <c r="F274" s="285">
        <f t="shared" si="211"/>
        <v>0</v>
      </c>
      <c r="G274" s="292">
        <f t="shared" si="205"/>
        <v>0</v>
      </c>
      <c r="H274" s="292">
        <f t="shared" si="206"/>
        <v>0</v>
      </c>
      <c r="I274" s="289">
        <f t="shared" si="207"/>
        <v>0</v>
      </c>
      <c r="J274" s="293" t="s">
        <v>315</v>
      </c>
    </row>
    <row r="275" spans="1:10" ht="21" x14ac:dyDescent="0.2">
      <c r="A275" s="281">
        <f>IF(C275&lt;&gt;"",1+MAX($A$6:A274),"")</f>
        <v>209</v>
      </c>
      <c r="B275" s="288" t="s">
        <v>317</v>
      </c>
      <c r="C275" s="283">
        <v>10</v>
      </c>
      <c r="D275" s="284" t="s">
        <v>20</v>
      </c>
      <c r="E275" s="285">
        <f t="shared" ref="E275:F275" si="212">E$73</f>
        <v>0</v>
      </c>
      <c r="F275" s="285">
        <f t="shared" si="212"/>
        <v>0</v>
      </c>
      <c r="G275" s="292">
        <f t="shared" si="205"/>
        <v>0</v>
      </c>
      <c r="H275" s="292">
        <f t="shared" si="206"/>
        <v>0</v>
      </c>
      <c r="I275" s="289">
        <f t="shared" si="207"/>
        <v>0</v>
      </c>
      <c r="J275" s="293" t="s">
        <v>315</v>
      </c>
    </row>
    <row r="276" spans="1:10" ht="21" x14ac:dyDescent="0.2">
      <c r="A276" s="281">
        <f>IF(C276&lt;&gt;"",1+MAX($A$6:A275),"")</f>
        <v>210</v>
      </c>
      <c r="B276" s="288" t="s">
        <v>281</v>
      </c>
      <c r="C276" s="283">
        <v>56</v>
      </c>
      <c r="D276" s="284" t="s">
        <v>20</v>
      </c>
      <c r="E276" s="285">
        <f t="shared" ref="E276:F276" si="213">E$22</f>
        <v>0</v>
      </c>
      <c r="F276" s="285">
        <f t="shared" si="213"/>
        <v>0</v>
      </c>
      <c r="G276" s="292">
        <f t="shared" si="205"/>
        <v>0</v>
      </c>
      <c r="H276" s="292">
        <f t="shared" si="206"/>
        <v>0</v>
      </c>
      <c r="I276" s="289">
        <f t="shared" si="207"/>
        <v>0</v>
      </c>
      <c r="J276" s="293" t="s">
        <v>318</v>
      </c>
    </row>
    <row r="277" spans="1:10" ht="21" x14ac:dyDescent="0.2">
      <c r="A277" s="281">
        <f>IF(C277&lt;&gt;"",1+MAX($A$6:A276),"")</f>
        <v>211</v>
      </c>
      <c r="B277" s="288" t="s">
        <v>370</v>
      </c>
      <c r="C277" s="283">
        <v>4</v>
      </c>
      <c r="D277" s="284" t="s">
        <v>20</v>
      </c>
      <c r="E277" s="291">
        <v>0</v>
      </c>
      <c r="F277" s="291">
        <v>0</v>
      </c>
      <c r="G277" s="292">
        <f t="shared" si="205"/>
        <v>0</v>
      </c>
      <c r="H277" s="292">
        <f t="shared" si="206"/>
        <v>0</v>
      </c>
      <c r="I277" s="289">
        <f t="shared" si="207"/>
        <v>0</v>
      </c>
      <c r="J277" s="293" t="s">
        <v>318</v>
      </c>
    </row>
    <row r="278" spans="1:10" ht="21" x14ac:dyDescent="0.2">
      <c r="A278" s="281">
        <f>IF(C278&lt;&gt;"",1+MAX($A$6:A277),"")</f>
        <v>212</v>
      </c>
      <c r="B278" s="288" t="s">
        <v>371</v>
      </c>
      <c r="C278" s="283">
        <v>5</v>
      </c>
      <c r="D278" s="284" t="s">
        <v>20</v>
      </c>
      <c r="E278" s="291">
        <v>0</v>
      </c>
      <c r="F278" s="291">
        <v>0</v>
      </c>
      <c r="G278" s="292">
        <f t="shared" si="205"/>
        <v>0</v>
      </c>
      <c r="H278" s="292">
        <f t="shared" si="206"/>
        <v>0</v>
      </c>
      <c r="I278" s="289">
        <f t="shared" si="207"/>
        <v>0</v>
      </c>
      <c r="J278" s="293" t="s">
        <v>318</v>
      </c>
    </row>
    <row r="279" spans="1:10" ht="21" x14ac:dyDescent="0.2">
      <c r="A279" s="281">
        <f>IF(C279&lt;&gt;"",1+MAX($A$6:A278),"")</f>
        <v>213</v>
      </c>
      <c r="B279" s="288" t="s">
        <v>352</v>
      </c>
      <c r="C279" s="283">
        <v>49</v>
      </c>
      <c r="D279" s="284" t="s">
        <v>20</v>
      </c>
      <c r="E279" s="285">
        <f t="shared" ref="E279:F279" si="214">E$179</f>
        <v>0</v>
      </c>
      <c r="F279" s="285">
        <f t="shared" si="214"/>
        <v>0</v>
      </c>
      <c r="G279" s="292">
        <f t="shared" si="205"/>
        <v>0</v>
      </c>
      <c r="H279" s="292">
        <f t="shared" si="206"/>
        <v>0</v>
      </c>
      <c r="I279" s="289">
        <f t="shared" si="207"/>
        <v>0</v>
      </c>
      <c r="J279" s="293" t="s">
        <v>320</v>
      </c>
    </row>
    <row r="280" spans="1:10" ht="21" x14ac:dyDescent="0.2">
      <c r="A280" s="281">
        <f>IF(C280&lt;&gt;"",1+MAX($A$6:A279),"")</f>
        <v>214</v>
      </c>
      <c r="B280" s="288" t="s">
        <v>319</v>
      </c>
      <c r="C280" s="283">
        <v>64</v>
      </c>
      <c r="D280" s="284" t="s">
        <v>20</v>
      </c>
      <c r="E280" s="285">
        <f t="shared" ref="E280:F280" si="215">E$75</f>
        <v>0</v>
      </c>
      <c r="F280" s="285">
        <f t="shared" si="215"/>
        <v>0</v>
      </c>
      <c r="G280" s="292">
        <f t="shared" si="205"/>
        <v>0</v>
      </c>
      <c r="H280" s="292">
        <f t="shared" si="206"/>
        <v>0</v>
      </c>
      <c r="I280" s="289">
        <f t="shared" si="207"/>
        <v>0</v>
      </c>
      <c r="J280" s="293" t="s">
        <v>320</v>
      </c>
    </row>
    <row r="281" spans="1:10" ht="21" x14ac:dyDescent="0.2">
      <c r="A281" s="281">
        <f>IF(C281&lt;&gt;"",1+MAX($A$6:A280),"")</f>
        <v>215</v>
      </c>
      <c r="B281" s="288" t="s">
        <v>321</v>
      </c>
      <c r="C281" s="283">
        <v>151</v>
      </c>
      <c r="D281" s="284" t="s">
        <v>20</v>
      </c>
      <c r="E281" s="285">
        <f t="shared" ref="E281:F281" si="216">E$76</f>
        <v>0</v>
      </c>
      <c r="F281" s="285">
        <f t="shared" si="216"/>
        <v>0</v>
      </c>
      <c r="G281" s="292">
        <f t="shared" si="205"/>
        <v>0</v>
      </c>
      <c r="H281" s="292">
        <f t="shared" si="206"/>
        <v>0</v>
      </c>
      <c r="I281" s="289">
        <f t="shared" si="207"/>
        <v>0</v>
      </c>
      <c r="J281" s="293" t="s">
        <v>320</v>
      </c>
    </row>
    <row r="282" spans="1:10" ht="21" x14ac:dyDescent="0.2">
      <c r="A282" s="281">
        <f>IF(C282&lt;&gt;"",1+MAX($A$6:A281),"")</f>
        <v>216</v>
      </c>
      <c r="B282" s="288" t="s">
        <v>322</v>
      </c>
      <c r="C282" s="283">
        <v>297</v>
      </c>
      <c r="D282" s="284" t="s">
        <v>20</v>
      </c>
      <c r="E282" s="285">
        <f t="shared" ref="E282:F282" si="217">E$77</f>
        <v>0</v>
      </c>
      <c r="F282" s="285">
        <f t="shared" si="217"/>
        <v>0</v>
      </c>
      <c r="G282" s="292">
        <f t="shared" si="205"/>
        <v>0</v>
      </c>
      <c r="H282" s="292">
        <f t="shared" si="206"/>
        <v>0</v>
      </c>
      <c r="I282" s="289">
        <f t="shared" si="207"/>
        <v>0</v>
      </c>
      <c r="J282" s="293" t="s">
        <v>320</v>
      </c>
    </row>
    <row r="283" spans="1:10" ht="21" x14ac:dyDescent="0.2">
      <c r="A283" s="281">
        <f>IF(C283&lt;&gt;"",1+MAX($A$6:A282),"")</f>
        <v>217</v>
      </c>
      <c r="B283" s="288" t="s">
        <v>323</v>
      </c>
      <c r="C283" s="283">
        <v>168</v>
      </c>
      <c r="D283" s="284" t="s">
        <v>20</v>
      </c>
      <c r="E283" s="285">
        <f t="shared" ref="E283:F283" si="218">E$78</f>
        <v>0</v>
      </c>
      <c r="F283" s="285">
        <f t="shared" si="218"/>
        <v>0</v>
      </c>
      <c r="G283" s="292">
        <f t="shared" si="205"/>
        <v>0</v>
      </c>
      <c r="H283" s="292">
        <f t="shared" si="206"/>
        <v>0</v>
      </c>
      <c r="I283" s="289">
        <f t="shared" si="207"/>
        <v>0</v>
      </c>
      <c r="J283" s="293" t="s">
        <v>320</v>
      </c>
    </row>
    <row r="284" spans="1:10" ht="21" x14ac:dyDescent="0.2">
      <c r="A284" s="281">
        <f>IF(C284&lt;&gt;"",1+MAX($A$6:A283),"")</f>
        <v>218</v>
      </c>
      <c r="B284" s="288" t="s">
        <v>324</v>
      </c>
      <c r="C284" s="283">
        <v>68</v>
      </c>
      <c r="D284" s="284" t="s">
        <v>20</v>
      </c>
      <c r="E284" s="285">
        <f t="shared" ref="E284:F284" si="219">E$79</f>
        <v>0</v>
      </c>
      <c r="F284" s="285">
        <f t="shared" si="219"/>
        <v>0</v>
      </c>
      <c r="G284" s="292">
        <f t="shared" si="205"/>
        <v>0</v>
      </c>
      <c r="H284" s="292">
        <f t="shared" si="206"/>
        <v>0</v>
      </c>
      <c r="I284" s="289">
        <f t="shared" si="207"/>
        <v>0</v>
      </c>
      <c r="J284" s="293" t="s">
        <v>320</v>
      </c>
    </row>
    <row r="285" spans="1:10" ht="21" x14ac:dyDescent="0.2">
      <c r="A285" s="281">
        <f>IF(C285&lt;&gt;"",1+MAX($A$6:A284),"")</f>
        <v>219</v>
      </c>
      <c r="B285" s="288" t="s">
        <v>325</v>
      </c>
      <c r="C285" s="283">
        <v>13</v>
      </c>
      <c r="D285" s="284" t="s">
        <v>20</v>
      </c>
      <c r="E285" s="285">
        <f t="shared" ref="E285:F285" si="220">E$80</f>
        <v>0</v>
      </c>
      <c r="F285" s="285">
        <f t="shared" si="220"/>
        <v>0</v>
      </c>
      <c r="G285" s="292">
        <f t="shared" si="205"/>
        <v>0</v>
      </c>
      <c r="H285" s="292">
        <f t="shared" si="206"/>
        <v>0</v>
      </c>
      <c r="I285" s="289">
        <f t="shared" si="207"/>
        <v>0</v>
      </c>
      <c r="J285" s="293" t="s">
        <v>320</v>
      </c>
    </row>
    <row r="286" spans="1:10" ht="21" x14ac:dyDescent="0.2">
      <c r="A286" s="281">
        <f>IF(C286&lt;&gt;"",1+MAX($A$6:A285),"")</f>
        <v>220</v>
      </c>
      <c r="B286" s="288" t="s">
        <v>372</v>
      </c>
      <c r="C286" s="283">
        <v>21</v>
      </c>
      <c r="D286" s="284" t="s">
        <v>20</v>
      </c>
      <c r="E286" s="291">
        <v>0</v>
      </c>
      <c r="F286" s="291">
        <v>0</v>
      </c>
      <c r="G286" s="292">
        <f t="shared" si="205"/>
        <v>0</v>
      </c>
      <c r="H286" s="292">
        <f t="shared" si="206"/>
        <v>0</v>
      </c>
      <c r="I286" s="289">
        <f t="shared" si="207"/>
        <v>0</v>
      </c>
      <c r="J286" s="293" t="s">
        <v>320</v>
      </c>
    </row>
    <row r="287" spans="1:10" ht="21" x14ac:dyDescent="0.2">
      <c r="A287" s="281">
        <f>IF(C287&lt;&gt;"",1+MAX($A$6:A286),"")</f>
        <v>221</v>
      </c>
      <c r="B287" s="288" t="s">
        <v>373</v>
      </c>
      <c r="C287" s="283">
        <v>39</v>
      </c>
      <c r="D287" s="284" t="s">
        <v>20</v>
      </c>
      <c r="E287" s="291">
        <v>0</v>
      </c>
      <c r="F287" s="291">
        <v>0</v>
      </c>
      <c r="G287" s="292">
        <f t="shared" si="205"/>
        <v>0</v>
      </c>
      <c r="H287" s="292">
        <f t="shared" si="206"/>
        <v>0</v>
      </c>
      <c r="I287" s="289">
        <f t="shared" si="207"/>
        <v>0</v>
      </c>
      <c r="J287" s="293" t="s">
        <v>320</v>
      </c>
    </row>
    <row r="288" spans="1:10" ht="21" x14ac:dyDescent="0.2">
      <c r="A288" s="281">
        <f>IF(C288&lt;&gt;"",1+MAX($A$6:A287),"")</f>
        <v>222</v>
      </c>
      <c r="B288" s="288" t="s">
        <v>374</v>
      </c>
      <c r="C288" s="283">
        <v>58</v>
      </c>
      <c r="D288" s="284" t="s">
        <v>20</v>
      </c>
      <c r="E288" s="291">
        <v>0</v>
      </c>
      <c r="F288" s="291">
        <v>0</v>
      </c>
      <c r="G288" s="292">
        <f t="shared" si="205"/>
        <v>0</v>
      </c>
      <c r="H288" s="292">
        <f t="shared" si="206"/>
        <v>0</v>
      </c>
      <c r="I288" s="289">
        <f t="shared" si="207"/>
        <v>0</v>
      </c>
      <c r="J288" s="293" t="s">
        <v>320</v>
      </c>
    </row>
    <row r="289" spans="1:14" ht="21" x14ac:dyDescent="0.2">
      <c r="A289" s="281">
        <f>IF(C289&lt;&gt;"",1+MAX($A$6:A288),"")</f>
        <v>223</v>
      </c>
      <c r="B289" s="288" t="s">
        <v>375</v>
      </c>
      <c r="C289" s="283">
        <v>38</v>
      </c>
      <c r="D289" s="284" t="s">
        <v>20</v>
      </c>
      <c r="E289" s="291">
        <v>0</v>
      </c>
      <c r="F289" s="291">
        <v>0</v>
      </c>
      <c r="G289" s="292">
        <f t="shared" si="205"/>
        <v>0</v>
      </c>
      <c r="H289" s="292">
        <f t="shared" si="206"/>
        <v>0</v>
      </c>
      <c r="I289" s="289">
        <f t="shared" si="207"/>
        <v>0</v>
      </c>
      <c r="J289" s="293" t="s">
        <v>320</v>
      </c>
    </row>
    <row r="290" spans="1:14" ht="21" x14ac:dyDescent="0.2">
      <c r="A290" s="281">
        <f>IF(C290&lt;&gt;"",1+MAX($A$6:A289),"")</f>
        <v>224</v>
      </c>
      <c r="B290" s="288" t="s">
        <v>376</v>
      </c>
      <c r="C290" s="283">
        <v>46</v>
      </c>
      <c r="D290" s="284" t="s">
        <v>20</v>
      </c>
      <c r="E290" s="291">
        <v>0</v>
      </c>
      <c r="F290" s="291">
        <v>0</v>
      </c>
      <c r="G290" s="292">
        <f t="shared" si="205"/>
        <v>0</v>
      </c>
      <c r="H290" s="292">
        <f t="shared" si="206"/>
        <v>0</v>
      </c>
      <c r="I290" s="289">
        <f t="shared" si="207"/>
        <v>0</v>
      </c>
      <c r="J290" s="293" t="s">
        <v>320</v>
      </c>
    </row>
    <row r="291" spans="1:14" ht="21" x14ac:dyDescent="0.2">
      <c r="A291" s="281">
        <f>IF(C291&lt;&gt;"",1+MAX($A$6:A290),"")</f>
        <v>225</v>
      </c>
      <c r="B291" s="288" t="s">
        <v>377</v>
      </c>
      <c r="C291" s="283">
        <v>10</v>
      </c>
      <c r="D291" s="284" t="s">
        <v>20</v>
      </c>
      <c r="E291" s="291">
        <v>0</v>
      </c>
      <c r="F291" s="291">
        <v>0</v>
      </c>
      <c r="G291" s="292">
        <f t="shared" si="205"/>
        <v>0</v>
      </c>
      <c r="H291" s="292">
        <f t="shared" si="206"/>
        <v>0</v>
      </c>
      <c r="I291" s="289">
        <f t="shared" si="207"/>
        <v>0</v>
      </c>
      <c r="J291" s="293" t="s">
        <v>320</v>
      </c>
    </row>
    <row r="292" spans="1:14" ht="21" x14ac:dyDescent="0.2">
      <c r="A292" s="281">
        <f>IF(C292&lt;&gt;"",1+MAX($A$6:A291),"")</f>
        <v>226</v>
      </c>
      <c r="B292" s="288" t="s">
        <v>326</v>
      </c>
      <c r="C292" s="283">
        <v>10</v>
      </c>
      <c r="D292" s="284" t="s">
        <v>20</v>
      </c>
      <c r="E292" s="285">
        <f t="shared" ref="E292:F292" si="221">E$81</f>
        <v>0</v>
      </c>
      <c r="F292" s="285">
        <f t="shared" si="221"/>
        <v>0</v>
      </c>
      <c r="G292" s="292">
        <f t="shared" si="205"/>
        <v>0</v>
      </c>
      <c r="H292" s="292">
        <f t="shared" si="206"/>
        <v>0</v>
      </c>
      <c r="I292" s="289">
        <f t="shared" si="207"/>
        <v>0</v>
      </c>
      <c r="J292" s="293" t="s">
        <v>320</v>
      </c>
    </row>
    <row r="293" spans="1:14" ht="21" x14ac:dyDescent="0.2">
      <c r="A293" s="281">
        <f>IF(C293&lt;&gt;"",1+MAX($A$6:A292),"")</f>
        <v>227</v>
      </c>
      <c r="B293" s="288" t="s">
        <v>353</v>
      </c>
      <c r="C293" s="283">
        <v>9</v>
      </c>
      <c r="D293" s="284" t="s">
        <v>20</v>
      </c>
      <c r="E293" s="285">
        <f t="shared" ref="E293:F293" si="222">E$187</f>
        <v>0</v>
      </c>
      <c r="F293" s="285">
        <f t="shared" si="222"/>
        <v>0</v>
      </c>
      <c r="G293" s="292">
        <f t="shared" si="205"/>
        <v>0</v>
      </c>
      <c r="H293" s="292">
        <f t="shared" si="206"/>
        <v>0</v>
      </c>
      <c r="I293" s="289">
        <f t="shared" si="207"/>
        <v>0</v>
      </c>
      <c r="J293" s="293" t="s">
        <v>320</v>
      </c>
    </row>
    <row r="294" spans="1:14" ht="21" x14ac:dyDescent="0.2">
      <c r="A294" s="281">
        <f>IF(C294&lt;&gt;"",1+MAX($A$6:A293),"")</f>
        <v>228</v>
      </c>
      <c r="B294" s="288" t="s">
        <v>355</v>
      </c>
      <c r="C294" s="283">
        <v>17</v>
      </c>
      <c r="D294" s="284" t="s">
        <v>20</v>
      </c>
      <c r="E294" s="285">
        <f t="shared" ref="E294:F294" si="223">E$189</f>
        <v>0</v>
      </c>
      <c r="F294" s="285">
        <f t="shared" si="223"/>
        <v>0</v>
      </c>
      <c r="G294" s="292">
        <f t="shared" si="205"/>
        <v>0</v>
      </c>
      <c r="H294" s="292">
        <f t="shared" si="206"/>
        <v>0</v>
      </c>
      <c r="I294" s="289">
        <f t="shared" si="207"/>
        <v>0</v>
      </c>
      <c r="J294" s="293" t="s">
        <v>320</v>
      </c>
    </row>
    <row r="295" spans="1:14" ht="21" x14ac:dyDescent="0.2">
      <c r="A295" s="281">
        <f>IF(C295&lt;&gt;"",1+MAX($A$6:A294),"")</f>
        <v>229</v>
      </c>
      <c r="B295" s="288" t="s">
        <v>329</v>
      </c>
      <c r="C295" s="283">
        <v>632</v>
      </c>
      <c r="D295" s="284" t="s">
        <v>20</v>
      </c>
      <c r="E295" s="285">
        <f t="shared" ref="E295:F295" si="224">E$84</f>
        <v>0</v>
      </c>
      <c r="F295" s="285">
        <f t="shared" si="224"/>
        <v>0</v>
      </c>
      <c r="G295" s="292">
        <f t="shared" si="205"/>
        <v>0</v>
      </c>
      <c r="H295" s="292">
        <f t="shared" si="206"/>
        <v>0</v>
      </c>
      <c r="I295" s="289">
        <f t="shared" si="207"/>
        <v>0</v>
      </c>
      <c r="J295" s="293" t="s">
        <v>330</v>
      </c>
    </row>
    <row r="296" spans="1:14" ht="21" x14ac:dyDescent="0.2">
      <c r="A296" s="281">
        <f>IF(C296&lt;&gt;"",1+MAX($A$6:A295),"")</f>
        <v>230</v>
      </c>
      <c r="B296" s="288" t="s">
        <v>331</v>
      </c>
      <c r="C296" s="283">
        <v>158</v>
      </c>
      <c r="D296" s="290" t="s">
        <v>20</v>
      </c>
      <c r="E296" s="285">
        <f t="shared" ref="E296:F296" si="225">E$85</f>
        <v>0</v>
      </c>
      <c r="F296" s="285">
        <f t="shared" si="225"/>
        <v>0</v>
      </c>
      <c r="G296" s="292">
        <f t="shared" si="205"/>
        <v>0</v>
      </c>
      <c r="H296" s="292">
        <f t="shared" si="206"/>
        <v>0</v>
      </c>
      <c r="I296" s="289">
        <f t="shared" si="207"/>
        <v>0</v>
      </c>
      <c r="J296" s="293" t="s">
        <v>332</v>
      </c>
      <c r="N296" s="298"/>
    </row>
    <row r="297" spans="1:14" ht="21" x14ac:dyDescent="0.2">
      <c r="A297" s="281" t="str">
        <f>IF(C297&lt;&gt;"",1+MAX($A$6:A296),"")</f>
        <v/>
      </c>
      <c r="B297" s="288"/>
      <c r="C297" s="296"/>
      <c r="D297" s="284"/>
      <c r="E297" s="285"/>
      <c r="F297" s="285"/>
      <c r="G297" s="292"/>
      <c r="H297" s="292"/>
      <c r="I297" s="289"/>
      <c r="J297" s="293"/>
    </row>
    <row r="298" spans="1:14" ht="21" x14ac:dyDescent="0.2">
      <c r="A298" s="281" t="str">
        <f>IF(C298&lt;&gt;"",1+MAX($A$6:A297),"")</f>
        <v/>
      </c>
      <c r="B298" s="282" t="s">
        <v>378</v>
      </c>
      <c r="C298" s="283"/>
      <c r="D298" s="284"/>
      <c r="E298" s="285"/>
      <c r="F298" s="285"/>
      <c r="G298" s="285"/>
      <c r="H298" s="285"/>
      <c r="I298" s="289"/>
      <c r="J298" s="293"/>
    </row>
    <row r="299" spans="1:14" ht="21" x14ac:dyDescent="0.2">
      <c r="A299" s="281" t="str">
        <f>IF(C299&lt;&gt;"",1+MAX($A$6:A298),"")</f>
        <v/>
      </c>
      <c r="B299" s="288"/>
      <c r="C299" s="283"/>
      <c r="D299" s="284"/>
      <c r="E299" s="285"/>
      <c r="F299" s="285"/>
      <c r="G299" s="285"/>
      <c r="H299" s="285"/>
      <c r="I299" s="289"/>
      <c r="J299" s="293"/>
    </row>
    <row r="300" spans="1:14" ht="21" x14ac:dyDescent="0.2">
      <c r="A300" s="281">
        <f>IF(C300&lt;&gt;"",1+MAX($A$6:A299),"")</f>
        <v>231</v>
      </c>
      <c r="B300" s="288" t="s">
        <v>289</v>
      </c>
      <c r="C300" s="283">
        <v>1</v>
      </c>
      <c r="D300" s="290" t="s">
        <v>20</v>
      </c>
      <c r="E300" s="285">
        <f t="shared" ref="E300:F300" si="226">E$41</f>
        <v>0</v>
      </c>
      <c r="F300" s="285">
        <f t="shared" si="226"/>
        <v>0</v>
      </c>
      <c r="G300" s="292">
        <f t="shared" ref="G300:G309" si="227">E300*C300</f>
        <v>0</v>
      </c>
      <c r="H300" s="292">
        <f t="shared" ref="H300:H309" si="228">F300*C300</f>
        <v>0</v>
      </c>
      <c r="I300" s="289">
        <f t="shared" ref="I300:I309" si="229">H300+G300</f>
        <v>0</v>
      </c>
      <c r="J300" s="293" t="s">
        <v>271</v>
      </c>
    </row>
    <row r="301" spans="1:14" ht="21" x14ac:dyDescent="0.2">
      <c r="A301" s="281">
        <f>IF(C301&lt;&gt;"",1+MAX($A$6:A300),"")</f>
        <v>232</v>
      </c>
      <c r="B301" s="288" t="s">
        <v>274</v>
      </c>
      <c r="C301" s="283">
        <v>54</v>
      </c>
      <c r="D301" s="290" t="s">
        <v>20</v>
      </c>
      <c r="E301" s="285">
        <f t="shared" ref="E301:F301" si="230">E$12</f>
        <v>0</v>
      </c>
      <c r="F301" s="285">
        <f t="shared" si="230"/>
        <v>0</v>
      </c>
      <c r="G301" s="292">
        <f t="shared" si="227"/>
        <v>0</v>
      </c>
      <c r="H301" s="292">
        <f t="shared" si="228"/>
        <v>0</v>
      </c>
      <c r="I301" s="289">
        <f t="shared" si="229"/>
        <v>0</v>
      </c>
      <c r="J301" s="293" t="s">
        <v>271</v>
      </c>
    </row>
    <row r="302" spans="1:14" ht="21" x14ac:dyDescent="0.2">
      <c r="A302" s="281">
        <f>IF(C302&lt;&gt;"",1+MAX($A$6:A301),"")</f>
        <v>233</v>
      </c>
      <c r="B302" s="288" t="s">
        <v>281</v>
      </c>
      <c r="C302" s="283">
        <v>1</v>
      </c>
      <c r="D302" s="290" t="s">
        <v>20</v>
      </c>
      <c r="E302" s="285">
        <f t="shared" ref="E302:F302" si="231">E$22</f>
        <v>0</v>
      </c>
      <c r="F302" s="285">
        <f t="shared" si="231"/>
        <v>0</v>
      </c>
      <c r="G302" s="292">
        <f t="shared" si="227"/>
        <v>0</v>
      </c>
      <c r="H302" s="292">
        <f t="shared" si="228"/>
        <v>0</v>
      </c>
      <c r="I302" s="289">
        <f t="shared" si="229"/>
        <v>0</v>
      </c>
      <c r="J302" s="293" t="s">
        <v>271</v>
      </c>
    </row>
    <row r="303" spans="1:14" ht="21" x14ac:dyDescent="0.2">
      <c r="A303" s="281">
        <f>IF(C303&lt;&gt;"",1+MAX($A$6:A302),"")</f>
        <v>234</v>
      </c>
      <c r="B303" s="288" t="s">
        <v>335</v>
      </c>
      <c r="C303" s="283">
        <v>7</v>
      </c>
      <c r="D303" s="284" t="s">
        <v>20</v>
      </c>
      <c r="E303" s="285">
        <f t="shared" ref="E303:F303" si="232">E$94</f>
        <v>0</v>
      </c>
      <c r="F303" s="285">
        <f t="shared" si="232"/>
        <v>0</v>
      </c>
      <c r="G303" s="292">
        <f t="shared" si="227"/>
        <v>0</v>
      </c>
      <c r="H303" s="292">
        <f t="shared" si="228"/>
        <v>0</v>
      </c>
      <c r="I303" s="289">
        <f t="shared" si="229"/>
        <v>0</v>
      </c>
      <c r="J303" s="293" t="s">
        <v>273</v>
      </c>
    </row>
    <row r="304" spans="1:14" ht="21" x14ac:dyDescent="0.2">
      <c r="A304" s="281">
        <f>IF(C304&lt;&gt;"",1+MAX($A$6:A303),"")</f>
        <v>235</v>
      </c>
      <c r="B304" s="288" t="s">
        <v>288</v>
      </c>
      <c r="C304" s="283">
        <v>1307</v>
      </c>
      <c r="D304" s="284" t="s">
        <v>20</v>
      </c>
      <c r="E304" s="285">
        <f t="shared" ref="E304:F304" si="233">E$40</f>
        <v>0</v>
      </c>
      <c r="F304" s="285">
        <f t="shared" si="233"/>
        <v>0</v>
      </c>
      <c r="G304" s="292">
        <f t="shared" si="227"/>
        <v>0</v>
      </c>
      <c r="H304" s="292">
        <f t="shared" si="228"/>
        <v>0</v>
      </c>
      <c r="I304" s="289">
        <f t="shared" si="229"/>
        <v>0</v>
      </c>
      <c r="J304" s="293" t="s">
        <v>273</v>
      </c>
    </row>
    <row r="305" spans="1:14" ht="21" x14ac:dyDescent="0.2">
      <c r="A305" s="281">
        <f>IF(C305&lt;&gt;"",1+MAX($A$6:A304),"")</f>
        <v>236</v>
      </c>
      <c r="B305" s="288" t="s">
        <v>336</v>
      </c>
      <c r="C305" s="283">
        <v>19</v>
      </c>
      <c r="D305" s="284" t="s">
        <v>20</v>
      </c>
      <c r="E305" s="285">
        <f t="shared" ref="E305:F305" si="234">E$96</f>
        <v>0</v>
      </c>
      <c r="F305" s="285">
        <f t="shared" si="234"/>
        <v>0</v>
      </c>
      <c r="G305" s="292">
        <f t="shared" si="227"/>
        <v>0</v>
      </c>
      <c r="H305" s="292">
        <f t="shared" si="228"/>
        <v>0</v>
      </c>
      <c r="I305" s="289">
        <f t="shared" si="229"/>
        <v>0</v>
      </c>
      <c r="J305" s="293" t="s">
        <v>273</v>
      </c>
    </row>
    <row r="306" spans="1:14" ht="21" x14ac:dyDescent="0.2">
      <c r="A306" s="281">
        <f>IF(C306&lt;&gt;"",1+MAX($A$6:A305),"")</f>
        <v>237</v>
      </c>
      <c r="B306" s="288" t="s">
        <v>289</v>
      </c>
      <c r="C306" s="283">
        <v>1</v>
      </c>
      <c r="D306" s="284" t="s">
        <v>20</v>
      </c>
      <c r="E306" s="285">
        <f t="shared" ref="E306:F306" si="235">E$41</f>
        <v>0</v>
      </c>
      <c r="F306" s="285">
        <f t="shared" si="235"/>
        <v>0</v>
      </c>
      <c r="G306" s="292">
        <f t="shared" si="227"/>
        <v>0</v>
      </c>
      <c r="H306" s="292">
        <f t="shared" si="228"/>
        <v>0</v>
      </c>
      <c r="I306" s="289">
        <f t="shared" si="229"/>
        <v>0</v>
      </c>
      <c r="J306" s="293" t="s">
        <v>275</v>
      </c>
    </row>
    <row r="307" spans="1:14" ht="21" x14ac:dyDescent="0.2">
      <c r="A307" s="281">
        <f>IF(C307&lt;&gt;"",1+MAX($A$6:A306),"")</f>
        <v>238</v>
      </c>
      <c r="B307" s="288" t="s">
        <v>274</v>
      </c>
      <c r="C307" s="283">
        <v>162</v>
      </c>
      <c r="D307" s="284" t="s">
        <v>20</v>
      </c>
      <c r="E307" s="285">
        <f t="shared" ref="E307:F307" si="236">E$12</f>
        <v>0</v>
      </c>
      <c r="F307" s="285">
        <f t="shared" si="236"/>
        <v>0</v>
      </c>
      <c r="G307" s="292">
        <f t="shared" si="227"/>
        <v>0</v>
      </c>
      <c r="H307" s="292">
        <f t="shared" si="228"/>
        <v>0</v>
      </c>
      <c r="I307" s="289">
        <f t="shared" si="229"/>
        <v>0</v>
      </c>
      <c r="J307" s="293" t="s">
        <v>275</v>
      </c>
    </row>
    <row r="308" spans="1:14" ht="21" x14ac:dyDescent="0.2">
      <c r="A308" s="281">
        <f>IF(C308&lt;&gt;"",1+MAX($A$6:A307),"")</f>
        <v>239</v>
      </c>
      <c r="B308" s="288" t="s">
        <v>281</v>
      </c>
      <c r="C308" s="283">
        <v>2</v>
      </c>
      <c r="D308" s="284" t="s">
        <v>20</v>
      </c>
      <c r="E308" s="285">
        <f t="shared" ref="E308:F308" si="237">E$22</f>
        <v>0</v>
      </c>
      <c r="F308" s="285">
        <f t="shared" si="237"/>
        <v>0</v>
      </c>
      <c r="G308" s="292">
        <f t="shared" si="227"/>
        <v>0</v>
      </c>
      <c r="H308" s="292">
        <f t="shared" si="228"/>
        <v>0</v>
      </c>
      <c r="I308" s="289">
        <f t="shared" si="229"/>
        <v>0</v>
      </c>
      <c r="J308" s="293" t="s">
        <v>275</v>
      </c>
    </row>
    <row r="309" spans="1:14" ht="21" x14ac:dyDescent="0.2">
      <c r="A309" s="281">
        <f>IF(C309&lt;&gt;"",1+MAX($A$6:A308),"")</f>
        <v>240</v>
      </c>
      <c r="B309" s="288" t="s">
        <v>276</v>
      </c>
      <c r="C309" s="283">
        <v>287</v>
      </c>
      <c r="D309" s="284" t="s">
        <v>20</v>
      </c>
      <c r="E309" s="285">
        <f t="shared" ref="E309:F309" si="238">E$13</f>
        <v>0</v>
      </c>
      <c r="F309" s="285">
        <f t="shared" si="238"/>
        <v>0</v>
      </c>
      <c r="G309" s="292">
        <f t="shared" si="227"/>
        <v>0</v>
      </c>
      <c r="H309" s="292">
        <f t="shared" si="228"/>
        <v>0</v>
      </c>
      <c r="I309" s="289">
        <f t="shared" si="229"/>
        <v>0</v>
      </c>
      <c r="J309" s="293" t="s">
        <v>277</v>
      </c>
    </row>
    <row r="310" spans="1:14" ht="21" x14ac:dyDescent="0.2">
      <c r="A310" s="281" t="str">
        <f>IF(C310&lt;&gt;"",1+MAX($A$6:A309),"")</f>
        <v/>
      </c>
      <c r="B310" s="295"/>
      <c r="C310" s="296"/>
      <c r="D310" s="284"/>
      <c r="E310" s="285"/>
      <c r="F310" s="285"/>
      <c r="G310" s="292"/>
      <c r="H310" s="292"/>
      <c r="I310" s="289"/>
      <c r="J310" s="293"/>
      <c r="N310" s="298"/>
    </row>
    <row r="311" spans="1:14" ht="21" x14ac:dyDescent="0.2">
      <c r="A311" s="281" t="str">
        <f>IF(C311&lt;&gt;"",1+MAX($A$6:A310),"")</f>
        <v/>
      </c>
      <c r="B311" s="297" t="s">
        <v>379</v>
      </c>
      <c r="C311" s="296"/>
      <c r="D311" s="284"/>
      <c r="E311" s="285"/>
      <c r="F311" s="285"/>
      <c r="G311" s="292"/>
      <c r="H311" s="292"/>
      <c r="I311" s="289"/>
      <c r="J311" s="293"/>
      <c r="N311" s="298"/>
    </row>
    <row r="312" spans="1:14" ht="21" x14ac:dyDescent="0.2">
      <c r="A312" s="281" t="str">
        <f>IF(C312&lt;&gt;"",1+MAX($A$6:A311),"")</f>
        <v/>
      </c>
      <c r="B312" s="288"/>
      <c r="C312" s="296"/>
      <c r="D312" s="284"/>
      <c r="E312" s="285"/>
      <c r="F312" s="285"/>
      <c r="G312" s="292"/>
      <c r="H312" s="292"/>
      <c r="I312" s="289"/>
      <c r="J312" s="293"/>
      <c r="N312" s="298"/>
    </row>
    <row r="313" spans="1:14" ht="21" x14ac:dyDescent="0.2">
      <c r="A313" s="281">
        <f>IF(C313&lt;&gt;"",1+MAX($A$6:A312),"")</f>
        <v>241</v>
      </c>
      <c r="B313" s="288" t="s">
        <v>274</v>
      </c>
      <c r="C313" s="283">
        <v>36</v>
      </c>
      <c r="D313" s="290" t="s">
        <v>20</v>
      </c>
      <c r="E313" s="285">
        <f t="shared" ref="E313:F313" si="239">E$12</f>
        <v>0</v>
      </c>
      <c r="F313" s="285">
        <f t="shared" si="239"/>
        <v>0</v>
      </c>
      <c r="G313" s="292">
        <f t="shared" ref="G313:G319" si="240">E313*C313</f>
        <v>0</v>
      </c>
      <c r="H313" s="292">
        <f t="shared" ref="H313:H319" si="241">F313*C313</f>
        <v>0</v>
      </c>
      <c r="I313" s="289">
        <f t="shared" ref="I313:I319" si="242">H313+G313</f>
        <v>0</v>
      </c>
      <c r="J313" s="293" t="s">
        <v>271</v>
      </c>
    </row>
    <row r="314" spans="1:14" ht="21" x14ac:dyDescent="0.2">
      <c r="A314" s="281">
        <f>IF(C314&lt;&gt;"",1+MAX($A$6:A313),"")</f>
        <v>242</v>
      </c>
      <c r="B314" s="288" t="s">
        <v>281</v>
      </c>
      <c r="C314" s="283">
        <v>3</v>
      </c>
      <c r="D314" s="290" t="s">
        <v>20</v>
      </c>
      <c r="E314" s="285">
        <f t="shared" ref="E314:F314" si="243">E$22</f>
        <v>0</v>
      </c>
      <c r="F314" s="285">
        <f t="shared" si="243"/>
        <v>0</v>
      </c>
      <c r="G314" s="292">
        <f t="shared" si="240"/>
        <v>0</v>
      </c>
      <c r="H314" s="292">
        <f t="shared" si="241"/>
        <v>0</v>
      </c>
      <c r="I314" s="289">
        <f t="shared" si="242"/>
        <v>0</v>
      </c>
      <c r="J314" s="293" t="s">
        <v>271</v>
      </c>
    </row>
    <row r="315" spans="1:14" ht="21" x14ac:dyDescent="0.2">
      <c r="A315" s="281">
        <f>IF(C315&lt;&gt;"",1+MAX($A$6:A314),"")</f>
        <v>243</v>
      </c>
      <c r="B315" s="288" t="s">
        <v>288</v>
      </c>
      <c r="C315" s="283">
        <v>526</v>
      </c>
      <c r="D315" s="284" t="s">
        <v>20</v>
      </c>
      <c r="E315" s="285">
        <f t="shared" ref="E315:F315" si="244">E$40</f>
        <v>0</v>
      </c>
      <c r="F315" s="285">
        <f t="shared" si="244"/>
        <v>0</v>
      </c>
      <c r="G315" s="292">
        <f t="shared" si="240"/>
        <v>0</v>
      </c>
      <c r="H315" s="292">
        <f t="shared" si="241"/>
        <v>0</v>
      </c>
      <c r="I315" s="289">
        <f t="shared" si="242"/>
        <v>0</v>
      </c>
      <c r="J315" s="293" t="s">
        <v>273</v>
      </c>
    </row>
    <row r="316" spans="1:14" ht="21" x14ac:dyDescent="0.2">
      <c r="A316" s="281">
        <f>IF(C316&lt;&gt;"",1+MAX($A$6:A315),"")</f>
        <v>244</v>
      </c>
      <c r="B316" s="288" t="s">
        <v>336</v>
      </c>
      <c r="C316" s="283">
        <v>76</v>
      </c>
      <c r="D316" s="284" t="s">
        <v>20</v>
      </c>
      <c r="E316" s="285">
        <f t="shared" ref="E316:F316" si="245">E$96</f>
        <v>0</v>
      </c>
      <c r="F316" s="285">
        <f t="shared" si="245"/>
        <v>0</v>
      </c>
      <c r="G316" s="292">
        <f t="shared" si="240"/>
        <v>0</v>
      </c>
      <c r="H316" s="292">
        <f t="shared" si="241"/>
        <v>0</v>
      </c>
      <c r="I316" s="289">
        <f t="shared" si="242"/>
        <v>0</v>
      </c>
      <c r="J316" s="293" t="s">
        <v>273</v>
      </c>
    </row>
    <row r="317" spans="1:14" ht="21" x14ac:dyDescent="0.2">
      <c r="A317" s="281">
        <f>IF(C317&lt;&gt;"",1+MAX($A$6:A316),"")</f>
        <v>245</v>
      </c>
      <c r="B317" s="288" t="s">
        <v>274</v>
      </c>
      <c r="C317" s="283">
        <v>108</v>
      </c>
      <c r="D317" s="284" t="s">
        <v>20</v>
      </c>
      <c r="E317" s="285">
        <f t="shared" ref="E317:F317" si="246">E$12</f>
        <v>0</v>
      </c>
      <c r="F317" s="285">
        <f t="shared" si="246"/>
        <v>0</v>
      </c>
      <c r="G317" s="292">
        <f t="shared" si="240"/>
        <v>0</v>
      </c>
      <c r="H317" s="292">
        <f t="shared" si="241"/>
        <v>0</v>
      </c>
      <c r="I317" s="289">
        <f t="shared" si="242"/>
        <v>0</v>
      </c>
      <c r="J317" s="293" t="s">
        <v>275</v>
      </c>
    </row>
    <row r="318" spans="1:14" ht="21" x14ac:dyDescent="0.2">
      <c r="A318" s="281">
        <f>IF(C318&lt;&gt;"",1+MAX($A$6:A317),"")</f>
        <v>246</v>
      </c>
      <c r="B318" s="288" t="s">
        <v>281</v>
      </c>
      <c r="C318" s="283">
        <v>9</v>
      </c>
      <c r="D318" s="284" t="s">
        <v>20</v>
      </c>
      <c r="E318" s="285">
        <f t="shared" ref="E318:F318" si="247">E$22</f>
        <v>0</v>
      </c>
      <c r="F318" s="285">
        <f t="shared" si="247"/>
        <v>0</v>
      </c>
      <c r="G318" s="292">
        <f t="shared" si="240"/>
        <v>0</v>
      </c>
      <c r="H318" s="292">
        <f t="shared" si="241"/>
        <v>0</v>
      </c>
      <c r="I318" s="289">
        <f t="shared" si="242"/>
        <v>0</v>
      </c>
      <c r="J318" s="293" t="s">
        <v>275</v>
      </c>
    </row>
    <row r="319" spans="1:14" ht="21" x14ac:dyDescent="0.2">
      <c r="A319" s="281">
        <f>IF(C319&lt;&gt;"",1+MAX($A$6:A318),"")</f>
        <v>247</v>
      </c>
      <c r="B319" s="288" t="s">
        <v>276</v>
      </c>
      <c r="C319" s="283">
        <v>173</v>
      </c>
      <c r="D319" s="284" t="s">
        <v>20</v>
      </c>
      <c r="E319" s="285">
        <f t="shared" ref="E319:F319" si="248">E$13</f>
        <v>0</v>
      </c>
      <c r="F319" s="285">
        <f t="shared" si="248"/>
        <v>0</v>
      </c>
      <c r="G319" s="292">
        <f t="shared" si="240"/>
        <v>0</v>
      </c>
      <c r="H319" s="292">
        <f t="shared" si="241"/>
        <v>0</v>
      </c>
      <c r="I319" s="289">
        <f t="shared" si="242"/>
        <v>0</v>
      </c>
      <c r="J319" s="293" t="s">
        <v>282</v>
      </c>
    </row>
    <row r="320" spans="1:14" ht="21" x14ac:dyDescent="0.2">
      <c r="A320" s="281" t="str">
        <f>IF(C320&lt;&gt;"",1+MAX($A$6:A319),"")</f>
        <v/>
      </c>
      <c r="B320" s="295"/>
      <c r="C320" s="296"/>
      <c r="D320" s="284"/>
      <c r="E320" s="285"/>
      <c r="F320" s="285"/>
      <c r="G320" s="292"/>
      <c r="H320" s="292"/>
      <c r="I320" s="289"/>
      <c r="J320" s="293"/>
      <c r="N320" s="298"/>
    </row>
    <row r="321" spans="1:14" ht="21" x14ac:dyDescent="0.2">
      <c r="A321" s="281" t="str">
        <f>IF(C321&lt;&gt;"",1+MAX($A$6:A320),"")</f>
        <v/>
      </c>
      <c r="B321" s="299" t="s">
        <v>380</v>
      </c>
      <c r="C321" s="296"/>
      <c r="D321" s="284"/>
      <c r="E321" s="285"/>
      <c r="F321" s="285"/>
      <c r="G321" s="292"/>
      <c r="H321" s="292"/>
      <c r="I321" s="289"/>
      <c r="J321" s="293"/>
      <c r="N321" s="298"/>
    </row>
    <row r="322" spans="1:14" ht="21" x14ac:dyDescent="0.2">
      <c r="A322" s="281" t="str">
        <f>IF(C322&lt;&gt;"",1+MAX($A$6:A321),"")</f>
        <v/>
      </c>
      <c r="B322" s="300"/>
      <c r="C322" s="296"/>
      <c r="D322" s="284"/>
      <c r="E322" s="285"/>
      <c r="F322" s="285"/>
      <c r="G322" s="292"/>
      <c r="H322" s="292"/>
      <c r="I322" s="289"/>
      <c r="J322" s="293"/>
    </row>
    <row r="323" spans="1:14" ht="21" x14ac:dyDescent="0.2">
      <c r="A323" s="281">
        <f>IF(C323&lt;&gt;"",1+MAX($A$6:A322),"")</f>
        <v>248</v>
      </c>
      <c r="B323" s="288" t="s">
        <v>274</v>
      </c>
      <c r="C323" s="283">
        <v>13</v>
      </c>
      <c r="D323" s="284" t="s">
        <v>20</v>
      </c>
      <c r="E323" s="285">
        <f t="shared" ref="E323:F323" si="249">E$12</f>
        <v>0</v>
      </c>
      <c r="F323" s="285">
        <f t="shared" si="249"/>
        <v>0</v>
      </c>
      <c r="G323" s="292">
        <f t="shared" ref="G323:G329" si="250">E323*C323</f>
        <v>0</v>
      </c>
      <c r="H323" s="292">
        <f t="shared" ref="H323:H329" si="251">F323*C323</f>
        <v>0</v>
      </c>
      <c r="I323" s="289">
        <f t="shared" ref="I323:I329" si="252">H323+G323</f>
        <v>0</v>
      </c>
      <c r="J323" s="293" t="s">
        <v>271</v>
      </c>
    </row>
    <row r="324" spans="1:14" ht="21" x14ac:dyDescent="0.2">
      <c r="A324" s="281">
        <f>IF(C324&lt;&gt;"",1+MAX($A$6:A323),"")</f>
        <v>249</v>
      </c>
      <c r="B324" s="288" t="s">
        <v>281</v>
      </c>
      <c r="C324" s="283">
        <v>4</v>
      </c>
      <c r="D324" s="284" t="s">
        <v>20</v>
      </c>
      <c r="E324" s="285">
        <f t="shared" ref="E324:F324" si="253">E$22</f>
        <v>0</v>
      </c>
      <c r="F324" s="285">
        <f t="shared" si="253"/>
        <v>0</v>
      </c>
      <c r="G324" s="292">
        <f t="shared" si="250"/>
        <v>0</v>
      </c>
      <c r="H324" s="292">
        <f t="shared" si="251"/>
        <v>0</v>
      </c>
      <c r="I324" s="289">
        <f t="shared" si="252"/>
        <v>0</v>
      </c>
      <c r="J324" s="293" t="s">
        <v>271</v>
      </c>
    </row>
    <row r="325" spans="1:14" ht="21" x14ac:dyDescent="0.2">
      <c r="A325" s="281">
        <f>IF(C325&lt;&gt;"",1+MAX($A$6:A324),"")</f>
        <v>250</v>
      </c>
      <c r="B325" s="288" t="s">
        <v>288</v>
      </c>
      <c r="C325" s="283">
        <v>365</v>
      </c>
      <c r="D325" s="284" t="s">
        <v>20</v>
      </c>
      <c r="E325" s="285">
        <f t="shared" ref="E325:F325" si="254">E$40</f>
        <v>0</v>
      </c>
      <c r="F325" s="285">
        <f t="shared" si="254"/>
        <v>0</v>
      </c>
      <c r="G325" s="292">
        <f t="shared" si="250"/>
        <v>0</v>
      </c>
      <c r="H325" s="292">
        <f t="shared" si="251"/>
        <v>0</v>
      </c>
      <c r="I325" s="289">
        <f t="shared" si="252"/>
        <v>0</v>
      </c>
      <c r="J325" s="293" t="s">
        <v>273</v>
      </c>
    </row>
    <row r="326" spans="1:14" ht="21" x14ac:dyDescent="0.2">
      <c r="A326" s="281">
        <f>IF(C326&lt;&gt;"",1+MAX($A$6:A325),"")</f>
        <v>251</v>
      </c>
      <c r="B326" s="288" t="s">
        <v>336</v>
      </c>
      <c r="C326" s="283">
        <v>100</v>
      </c>
      <c r="D326" s="284" t="s">
        <v>20</v>
      </c>
      <c r="E326" s="285">
        <f t="shared" ref="E326:F326" si="255">E$96</f>
        <v>0</v>
      </c>
      <c r="F326" s="285">
        <f t="shared" si="255"/>
        <v>0</v>
      </c>
      <c r="G326" s="292">
        <f t="shared" si="250"/>
        <v>0</v>
      </c>
      <c r="H326" s="292">
        <f t="shared" si="251"/>
        <v>0</v>
      </c>
      <c r="I326" s="289">
        <f t="shared" si="252"/>
        <v>0</v>
      </c>
      <c r="J326" s="293" t="s">
        <v>273</v>
      </c>
    </row>
    <row r="327" spans="1:14" ht="21" x14ac:dyDescent="0.2">
      <c r="A327" s="281">
        <f>IF(C327&lt;&gt;"",1+MAX($A$6:A326),"")</f>
        <v>252</v>
      </c>
      <c r="B327" s="288" t="s">
        <v>274</v>
      </c>
      <c r="C327" s="283">
        <v>39</v>
      </c>
      <c r="D327" s="284" t="s">
        <v>20</v>
      </c>
      <c r="E327" s="285">
        <f t="shared" ref="E327:F327" si="256">E$12</f>
        <v>0</v>
      </c>
      <c r="F327" s="285">
        <f t="shared" si="256"/>
        <v>0</v>
      </c>
      <c r="G327" s="292">
        <f t="shared" si="250"/>
        <v>0</v>
      </c>
      <c r="H327" s="292">
        <f t="shared" si="251"/>
        <v>0</v>
      </c>
      <c r="I327" s="289">
        <f t="shared" si="252"/>
        <v>0</v>
      </c>
      <c r="J327" s="293" t="s">
        <v>284</v>
      </c>
    </row>
    <row r="328" spans="1:14" ht="21" x14ac:dyDescent="0.2">
      <c r="A328" s="281">
        <f>IF(C328&lt;&gt;"",1+MAX($A$6:A327),"")</f>
        <v>253</v>
      </c>
      <c r="B328" s="288" t="s">
        <v>281</v>
      </c>
      <c r="C328" s="283">
        <v>12</v>
      </c>
      <c r="D328" s="284" t="s">
        <v>20</v>
      </c>
      <c r="E328" s="285">
        <f t="shared" ref="E328:F328" si="257">E$22</f>
        <v>0</v>
      </c>
      <c r="F328" s="285">
        <f t="shared" si="257"/>
        <v>0</v>
      </c>
      <c r="G328" s="292">
        <f t="shared" si="250"/>
        <v>0</v>
      </c>
      <c r="H328" s="292">
        <f t="shared" si="251"/>
        <v>0</v>
      </c>
      <c r="I328" s="289">
        <f t="shared" si="252"/>
        <v>0</v>
      </c>
      <c r="J328" s="293" t="s">
        <v>284</v>
      </c>
    </row>
    <row r="329" spans="1:14" ht="21" x14ac:dyDescent="0.2">
      <c r="A329" s="281">
        <f>IF(C329&lt;&gt;"",1+MAX($A$6:A328),"")</f>
        <v>254</v>
      </c>
      <c r="B329" s="288" t="s">
        <v>276</v>
      </c>
      <c r="C329" s="283">
        <v>74</v>
      </c>
      <c r="D329" s="284" t="s">
        <v>20</v>
      </c>
      <c r="E329" s="285">
        <f t="shared" ref="E329:F329" si="258">E$13</f>
        <v>0</v>
      </c>
      <c r="F329" s="285">
        <f t="shared" si="258"/>
        <v>0</v>
      </c>
      <c r="G329" s="292">
        <f t="shared" si="250"/>
        <v>0</v>
      </c>
      <c r="H329" s="292">
        <f t="shared" si="251"/>
        <v>0</v>
      </c>
      <c r="I329" s="289">
        <f t="shared" si="252"/>
        <v>0</v>
      </c>
      <c r="J329" s="293" t="s">
        <v>339</v>
      </c>
    </row>
    <row r="330" spans="1:14" ht="21" x14ac:dyDescent="0.2">
      <c r="A330" s="281" t="str">
        <f>IF(C330&lt;&gt;"",1+MAX($A$6:A329),"")</f>
        <v/>
      </c>
      <c r="B330" s="288"/>
      <c r="C330" s="296"/>
      <c r="D330" s="284"/>
      <c r="E330" s="285"/>
      <c r="F330" s="285"/>
      <c r="G330" s="292"/>
      <c r="H330" s="292"/>
      <c r="I330" s="289"/>
      <c r="J330" s="293"/>
    </row>
    <row r="331" spans="1:14" ht="21" x14ac:dyDescent="0.2">
      <c r="A331" s="281" t="str">
        <f>IF(C331&lt;&gt;"",1+MAX($A$6:A330),"")</f>
        <v/>
      </c>
      <c r="B331" s="282" t="s">
        <v>381</v>
      </c>
      <c r="C331" s="296"/>
      <c r="D331" s="284"/>
      <c r="E331" s="285"/>
      <c r="F331" s="285"/>
      <c r="G331" s="292"/>
      <c r="H331" s="292"/>
      <c r="I331" s="289"/>
      <c r="J331" s="293"/>
      <c r="N331" s="298"/>
    </row>
    <row r="332" spans="1:14" ht="21" x14ac:dyDescent="0.2">
      <c r="A332" s="281" t="str">
        <f>IF(C332&lt;&gt;"",1+MAX($A$6:A331),"")</f>
        <v/>
      </c>
      <c r="B332" s="288"/>
      <c r="C332" s="296"/>
      <c r="D332" s="284"/>
      <c r="E332" s="285"/>
      <c r="F332" s="285"/>
      <c r="G332" s="292"/>
      <c r="H332" s="292"/>
      <c r="I332" s="289"/>
      <c r="J332" s="293"/>
      <c r="N332" s="298"/>
    </row>
    <row r="333" spans="1:14" ht="21" x14ac:dyDescent="0.2">
      <c r="A333" s="281">
        <f>IF(C333&lt;&gt;"",1+MAX($A$6:A332),"")</f>
        <v>255</v>
      </c>
      <c r="B333" s="288" t="s">
        <v>289</v>
      </c>
      <c r="C333" s="283">
        <v>99</v>
      </c>
      <c r="D333" s="284" t="s">
        <v>20</v>
      </c>
      <c r="E333" s="285">
        <f t="shared" ref="E333:F333" si="259">E$41</f>
        <v>0</v>
      </c>
      <c r="F333" s="285">
        <f t="shared" si="259"/>
        <v>0</v>
      </c>
      <c r="G333" s="292">
        <f t="shared" ref="G333:G342" si="260">E333*C333</f>
        <v>0</v>
      </c>
      <c r="H333" s="292">
        <f t="shared" ref="H333:H342" si="261">F333*C333</f>
        <v>0</v>
      </c>
      <c r="I333" s="289">
        <f t="shared" ref="I333:I342" si="262">H333+G333</f>
        <v>0</v>
      </c>
      <c r="J333" s="293" t="s">
        <v>271</v>
      </c>
    </row>
    <row r="334" spans="1:14" ht="21" x14ac:dyDescent="0.2">
      <c r="A334" s="281">
        <f>IF(C334&lt;&gt;"",1+MAX($A$6:A333),"")</f>
        <v>256</v>
      </c>
      <c r="B334" s="288" t="s">
        <v>274</v>
      </c>
      <c r="C334" s="283">
        <v>11</v>
      </c>
      <c r="D334" s="284" t="s">
        <v>20</v>
      </c>
      <c r="E334" s="285">
        <f t="shared" ref="E334:F334" si="263">E$12</f>
        <v>0</v>
      </c>
      <c r="F334" s="285">
        <f t="shared" si="263"/>
        <v>0</v>
      </c>
      <c r="G334" s="292">
        <f t="shared" si="260"/>
        <v>0</v>
      </c>
      <c r="H334" s="292">
        <f t="shared" si="261"/>
        <v>0</v>
      </c>
      <c r="I334" s="289">
        <f t="shared" si="262"/>
        <v>0</v>
      </c>
      <c r="J334" s="293" t="s">
        <v>271</v>
      </c>
    </row>
    <row r="335" spans="1:14" ht="21" x14ac:dyDescent="0.2">
      <c r="A335" s="281">
        <f>IF(C335&lt;&gt;"",1+MAX($A$6:A334),"")</f>
        <v>257</v>
      </c>
      <c r="B335" s="288" t="s">
        <v>281</v>
      </c>
      <c r="C335" s="283">
        <v>3</v>
      </c>
      <c r="D335" s="284" t="s">
        <v>20</v>
      </c>
      <c r="E335" s="285">
        <f t="shared" ref="E335:F335" si="264">E$22</f>
        <v>0</v>
      </c>
      <c r="F335" s="285">
        <f t="shared" si="264"/>
        <v>0</v>
      </c>
      <c r="G335" s="292">
        <f t="shared" si="260"/>
        <v>0</v>
      </c>
      <c r="H335" s="292">
        <f t="shared" si="261"/>
        <v>0</v>
      </c>
      <c r="I335" s="289">
        <f t="shared" si="262"/>
        <v>0</v>
      </c>
      <c r="J335" s="293" t="s">
        <v>271</v>
      </c>
    </row>
    <row r="336" spans="1:14" ht="21" x14ac:dyDescent="0.2">
      <c r="A336" s="281">
        <f>IF(C336&lt;&gt;"",1+MAX($A$6:A335),"")</f>
        <v>258</v>
      </c>
      <c r="B336" s="288" t="s">
        <v>335</v>
      </c>
      <c r="C336" s="283">
        <v>2386</v>
      </c>
      <c r="D336" s="284" t="s">
        <v>20</v>
      </c>
      <c r="E336" s="285">
        <f t="shared" ref="E336:F336" si="265">E$94</f>
        <v>0</v>
      </c>
      <c r="F336" s="285">
        <f t="shared" si="265"/>
        <v>0</v>
      </c>
      <c r="G336" s="292">
        <f t="shared" si="260"/>
        <v>0</v>
      </c>
      <c r="H336" s="292">
        <f t="shared" si="261"/>
        <v>0</v>
      </c>
      <c r="I336" s="289">
        <f t="shared" si="262"/>
        <v>0</v>
      </c>
      <c r="J336" s="293" t="s">
        <v>273</v>
      </c>
    </row>
    <row r="337" spans="1:10" ht="21" x14ac:dyDescent="0.2">
      <c r="A337" s="281">
        <f>IF(C337&lt;&gt;"",1+MAX($A$6:A336),"")</f>
        <v>259</v>
      </c>
      <c r="B337" s="288" t="s">
        <v>288</v>
      </c>
      <c r="C337" s="283">
        <v>270</v>
      </c>
      <c r="D337" s="284" t="s">
        <v>20</v>
      </c>
      <c r="E337" s="285">
        <f t="shared" ref="E337:F337" si="266">E$40</f>
        <v>0</v>
      </c>
      <c r="F337" s="285">
        <f t="shared" si="266"/>
        <v>0</v>
      </c>
      <c r="G337" s="292">
        <f t="shared" si="260"/>
        <v>0</v>
      </c>
      <c r="H337" s="292">
        <f t="shared" si="261"/>
        <v>0</v>
      </c>
      <c r="I337" s="289">
        <f t="shared" si="262"/>
        <v>0</v>
      </c>
      <c r="J337" s="293" t="s">
        <v>273</v>
      </c>
    </row>
    <row r="338" spans="1:10" ht="21" x14ac:dyDescent="0.2">
      <c r="A338" s="281">
        <f>IF(C338&lt;&gt;"",1+MAX($A$6:A337),"")</f>
        <v>260</v>
      </c>
      <c r="B338" s="288" t="s">
        <v>336</v>
      </c>
      <c r="C338" s="283">
        <v>55</v>
      </c>
      <c r="D338" s="284" t="s">
        <v>20</v>
      </c>
      <c r="E338" s="285">
        <f t="shared" ref="E338:F338" si="267">E$96</f>
        <v>0</v>
      </c>
      <c r="F338" s="285">
        <f t="shared" si="267"/>
        <v>0</v>
      </c>
      <c r="G338" s="292">
        <f t="shared" si="260"/>
        <v>0</v>
      </c>
      <c r="H338" s="292">
        <f t="shared" si="261"/>
        <v>0</v>
      </c>
      <c r="I338" s="289">
        <f t="shared" si="262"/>
        <v>0</v>
      </c>
      <c r="J338" s="293" t="s">
        <v>273</v>
      </c>
    </row>
    <row r="339" spans="1:10" ht="21" x14ac:dyDescent="0.2">
      <c r="A339" s="281">
        <f>IF(C339&lt;&gt;"",1+MAX($A$6:A338),"")</f>
        <v>261</v>
      </c>
      <c r="B339" s="288" t="s">
        <v>289</v>
      </c>
      <c r="C339" s="283">
        <v>297</v>
      </c>
      <c r="D339" s="290" t="s">
        <v>20</v>
      </c>
      <c r="E339" s="285">
        <f t="shared" ref="E339:F339" si="268">E$41</f>
        <v>0</v>
      </c>
      <c r="F339" s="285">
        <f t="shared" si="268"/>
        <v>0</v>
      </c>
      <c r="G339" s="292">
        <f t="shared" si="260"/>
        <v>0</v>
      </c>
      <c r="H339" s="292">
        <f t="shared" si="261"/>
        <v>0</v>
      </c>
      <c r="I339" s="289">
        <f t="shared" si="262"/>
        <v>0</v>
      </c>
      <c r="J339" s="293" t="s">
        <v>275</v>
      </c>
    </row>
    <row r="340" spans="1:10" ht="21" x14ac:dyDescent="0.2">
      <c r="A340" s="281">
        <f>IF(C340&lt;&gt;"",1+MAX($A$6:A339),"")</f>
        <v>262</v>
      </c>
      <c r="B340" s="288" t="s">
        <v>274</v>
      </c>
      <c r="C340" s="283">
        <v>33</v>
      </c>
      <c r="D340" s="290" t="s">
        <v>20</v>
      </c>
      <c r="E340" s="285">
        <f t="shared" ref="E340:F340" si="269">E$12</f>
        <v>0</v>
      </c>
      <c r="F340" s="285">
        <f t="shared" si="269"/>
        <v>0</v>
      </c>
      <c r="G340" s="292">
        <f t="shared" si="260"/>
        <v>0</v>
      </c>
      <c r="H340" s="292">
        <f t="shared" si="261"/>
        <v>0</v>
      </c>
      <c r="I340" s="289">
        <f t="shared" si="262"/>
        <v>0</v>
      </c>
      <c r="J340" s="293" t="s">
        <v>275</v>
      </c>
    </row>
    <row r="341" spans="1:10" ht="21" x14ac:dyDescent="0.2">
      <c r="A341" s="281">
        <f>IF(C341&lt;&gt;"",1+MAX($A$6:A340),"")</f>
        <v>263</v>
      </c>
      <c r="B341" s="288" t="s">
        <v>281</v>
      </c>
      <c r="C341" s="283">
        <v>9</v>
      </c>
      <c r="D341" s="290" t="s">
        <v>20</v>
      </c>
      <c r="E341" s="285">
        <f t="shared" ref="E341:F341" si="270">E$22</f>
        <v>0</v>
      </c>
      <c r="F341" s="285">
        <f t="shared" si="270"/>
        <v>0</v>
      </c>
      <c r="G341" s="292">
        <f t="shared" si="260"/>
        <v>0</v>
      </c>
      <c r="H341" s="292">
        <f t="shared" si="261"/>
        <v>0</v>
      </c>
      <c r="I341" s="289">
        <f t="shared" si="262"/>
        <v>0</v>
      </c>
      <c r="J341" s="293" t="s">
        <v>275</v>
      </c>
    </row>
    <row r="342" spans="1:10" ht="21" x14ac:dyDescent="0.2">
      <c r="A342" s="281">
        <f>IF(C342&lt;&gt;"",1+MAX($A$6:A341),"")</f>
        <v>264</v>
      </c>
      <c r="B342" s="288" t="s">
        <v>276</v>
      </c>
      <c r="C342" s="283">
        <v>43</v>
      </c>
      <c r="D342" s="284" t="s">
        <v>20</v>
      </c>
      <c r="E342" s="285">
        <f t="shared" ref="E342:F342" si="271">E$13</f>
        <v>0</v>
      </c>
      <c r="F342" s="285">
        <f t="shared" si="271"/>
        <v>0</v>
      </c>
      <c r="G342" s="292">
        <f t="shared" si="260"/>
        <v>0</v>
      </c>
      <c r="H342" s="292">
        <f t="shared" si="261"/>
        <v>0</v>
      </c>
      <c r="I342" s="289">
        <f t="shared" si="262"/>
        <v>0</v>
      </c>
      <c r="J342" s="293" t="s">
        <v>282</v>
      </c>
    </row>
    <row r="343" spans="1:10" ht="21" x14ac:dyDescent="0.2">
      <c r="A343" s="281" t="str">
        <f>IF(C343&lt;&gt;"",1+MAX($A$6:A342),"")</f>
        <v/>
      </c>
      <c r="B343" s="301"/>
      <c r="C343" s="302"/>
      <c r="D343" s="303"/>
      <c r="E343" s="285"/>
      <c r="F343" s="285"/>
      <c r="G343" s="285"/>
      <c r="H343" s="285"/>
      <c r="I343" s="289"/>
      <c r="J343" s="293"/>
    </row>
    <row r="344" spans="1:10" ht="21" x14ac:dyDescent="0.2">
      <c r="A344" s="281" t="str">
        <f>IF(C344&lt;&gt;"",1+MAX($A$6:A343),"")</f>
        <v/>
      </c>
      <c r="B344" s="282" t="s">
        <v>382</v>
      </c>
      <c r="C344" s="283"/>
      <c r="D344" s="284"/>
      <c r="E344" s="285"/>
      <c r="F344" s="285"/>
      <c r="G344" s="285"/>
      <c r="H344" s="285"/>
      <c r="I344" s="289"/>
      <c r="J344" s="293"/>
    </row>
    <row r="345" spans="1:10" ht="21" x14ac:dyDescent="0.2">
      <c r="A345" s="281" t="str">
        <f>IF(C345&lt;&gt;"",1+MAX($A$6:A344),"")</f>
        <v/>
      </c>
      <c r="B345" s="288"/>
      <c r="C345" s="283"/>
      <c r="D345" s="284"/>
      <c r="E345" s="285"/>
      <c r="F345" s="285"/>
      <c r="G345" s="292"/>
      <c r="H345" s="292"/>
      <c r="I345" s="289"/>
      <c r="J345" s="293"/>
    </row>
    <row r="346" spans="1:10" ht="21" x14ac:dyDescent="0.2">
      <c r="A346" s="281">
        <f>IF(C346&lt;&gt;"",1+MAX($A$6:A345),"")</f>
        <v>265</v>
      </c>
      <c r="B346" s="288" t="s">
        <v>274</v>
      </c>
      <c r="C346" s="283">
        <v>52</v>
      </c>
      <c r="D346" s="290" t="s">
        <v>20</v>
      </c>
      <c r="E346" s="285">
        <f t="shared" ref="E346:F346" si="272">E$12</f>
        <v>0</v>
      </c>
      <c r="F346" s="285">
        <f t="shared" si="272"/>
        <v>0</v>
      </c>
      <c r="G346" s="292">
        <f t="shared" ref="G346:G349" si="273">E346*C346</f>
        <v>0</v>
      </c>
      <c r="H346" s="292">
        <f t="shared" ref="H346:H349" si="274">F346*C346</f>
        <v>0</v>
      </c>
      <c r="I346" s="289">
        <f t="shared" ref="I346:I349" si="275">H346+G346</f>
        <v>0</v>
      </c>
      <c r="J346" s="293" t="s">
        <v>271</v>
      </c>
    </row>
    <row r="347" spans="1:10" ht="21" x14ac:dyDescent="0.2">
      <c r="A347" s="281">
        <f>IF(C347&lt;&gt;"",1+MAX($A$6:A346),"")</f>
        <v>266</v>
      </c>
      <c r="B347" s="288" t="s">
        <v>343</v>
      </c>
      <c r="C347" s="283">
        <v>618</v>
      </c>
      <c r="D347" s="284" t="s">
        <v>20</v>
      </c>
      <c r="E347" s="285">
        <f t="shared" ref="E347:F347" si="276">E$147</f>
        <v>0</v>
      </c>
      <c r="F347" s="285">
        <f t="shared" si="276"/>
        <v>0</v>
      </c>
      <c r="G347" s="292">
        <f t="shared" si="273"/>
        <v>0</v>
      </c>
      <c r="H347" s="292">
        <f t="shared" si="274"/>
        <v>0</v>
      </c>
      <c r="I347" s="289">
        <f t="shared" si="275"/>
        <v>0</v>
      </c>
      <c r="J347" s="293" t="s">
        <v>273</v>
      </c>
    </row>
    <row r="348" spans="1:10" ht="21" x14ac:dyDescent="0.2">
      <c r="A348" s="281">
        <f>IF(C348&lt;&gt;"",1+MAX($A$6:A347),"")</f>
        <v>267</v>
      </c>
      <c r="B348" s="288" t="s">
        <v>274</v>
      </c>
      <c r="C348" s="283">
        <v>104</v>
      </c>
      <c r="D348" s="284" t="s">
        <v>20</v>
      </c>
      <c r="E348" s="285">
        <f t="shared" ref="E348:F348" si="277">E$12</f>
        <v>0</v>
      </c>
      <c r="F348" s="285">
        <f t="shared" si="277"/>
        <v>0</v>
      </c>
      <c r="G348" s="292">
        <f t="shared" si="273"/>
        <v>0</v>
      </c>
      <c r="H348" s="292">
        <f t="shared" si="274"/>
        <v>0</v>
      </c>
      <c r="I348" s="289">
        <f t="shared" si="275"/>
        <v>0</v>
      </c>
      <c r="J348" s="293" t="s">
        <v>275</v>
      </c>
    </row>
    <row r="349" spans="1:10" ht="21" x14ac:dyDescent="0.2">
      <c r="A349" s="281">
        <f>IF(C349&lt;&gt;"",1+MAX($A$6:A348),"")</f>
        <v>268</v>
      </c>
      <c r="B349" s="288" t="s">
        <v>276</v>
      </c>
      <c r="C349" s="283">
        <v>206</v>
      </c>
      <c r="D349" s="284" t="s">
        <v>20</v>
      </c>
      <c r="E349" s="285">
        <f t="shared" ref="E349:F349" si="278">E$13</f>
        <v>0</v>
      </c>
      <c r="F349" s="285">
        <f t="shared" si="278"/>
        <v>0</v>
      </c>
      <c r="G349" s="292">
        <f t="shared" si="273"/>
        <v>0</v>
      </c>
      <c r="H349" s="292">
        <f t="shared" si="274"/>
        <v>0</v>
      </c>
      <c r="I349" s="289">
        <f t="shared" si="275"/>
        <v>0</v>
      </c>
      <c r="J349" s="293" t="s">
        <v>277</v>
      </c>
    </row>
    <row r="350" spans="1:10" ht="21" x14ac:dyDescent="0.2">
      <c r="A350" s="281" t="str">
        <f>IF(C350&lt;&gt;"",1+MAX($A$6:A349),"")</f>
        <v/>
      </c>
      <c r="B350" s="288"/>
      <c r="C350" s="296"/>
      <c r="D350" s="284"/>
      <c r="E350" s="285"/>
      <c r="F350" s="285"/>
      <c r="G350" s="285"/>
      <c r="H350" s="285"/>
      <c r="I350" s="289"/>
      <c r="J350" s="293"/>
    </row>
    <row r="351" spans="1:10" ht="21" x14ac:dyDescent="0.2">
      <c r="A351" s="281" t="str">
        <f>IF(C351&lt;&gt;"",1+MAX($A$6:A350),"")</f>
        <v/>
      </c>
      <c r="B351" s="282" t="s">
        <v>383</v>
      </c>
      <c r="C351" s="296"/>
      <c r="D351" s="284"/>
      <c r="E351" s="285"/>
      <c r="F351" s="285"/>
      <c r="G351" s="292"/>
      <c r="H351" s="292"/>
      <c r="I351" s="289"/>
      <c r="J351" s="293"/>
    </row>
    <row r="352" spans="1:10" ht="21" x14ac:dyDescent="0.2">
      <c r="A352" s="281" t="str">
        <f>IF(C352&lt;&gt;"",1+MAX($A$6:A351),"")</f>
        <v/>
      </c>
      <c r="B352" s="288"/>
      <c r="C352" s="296"/>
      <c r="D352" s="284"/>
      <c r="E352" s="285"/>
      <c r="F352" s="285"/>
      <c r="G352" s="292"/>
      <c r="H352" s="292"/>
      <c r="I352" s="289"/>
      <c r="J352" s="293"/>
    </row>
    <row r="353" spans="1:10" ht="21" x14ac:dyDescent="0.2">
      <c r="A353" s="281">
        <f>IF(C353&lt;&gt;"",1+MAX($A$6:A352),"")</f>
        <v>269</v>
      </c>
      <c r="B353" s="288" t="s">
        <v>291</v>
      </c>
      <c r="C353" s="283">
        <v>32</v>
      </c>
      <c r="D353" s="284" t="s">
        <v>20</v>
      </c>
      <c r="E353" s="285">
        <f t="shared" ref="E353:F353" si="279">E$47</f>
        <v>0</v>
      </c>
      <c r="F353" s="285">
        <f t="shared" si="279"/>
        <v>0</v>
      </c>
      <c r="G353" s="292">
        <f t="shared" ref="G353:G361" si="280">E353*C353</f>
        <v>0</v>
      </c>
      <c r="H353" s="292">
        <f t="shared" ref="H353:H361" si="281">F353*C353</f>
        <v>0</v>
      </c>
      <c r="I353" s="289">
        <f t="shared" ref="I353:I361" si="282">H353+G353</f>
        <v>0</v>
      </c>
      <c r="J353" s="293" t="s">
        <v>384</v>
      </c>
    </row>
    <row r="354" spans="1:10" ht="21" x14ac:dyDescent="0.2">
      <c r="A354" s="281">
        <f>IF(C354&lt;&gt;"",1+MAX($A$6:A353),"")</f>
        <v>270</v>
      </c>
      <c r="B354" s="288" t="s">
        <v>385</v>
      </c>
      <c r="C354" s="283">
        <v>3</v>
      </c>
      <c r="D354" s="284" t="s">
        <v>20</v>
      </c>
      <c r="E354" s="291">
        <v>0</v>
      </c>
      <c r="F354" s="291">
        <v>0</v>
      </c>
      <c r="G354" s="292">
        <f t="shared" si="280"/>
        <v>0</v>
      </c>
      <c r="H354" s="292">
        <f t="shared" si="281"/>
        <v>0</v>
      </c>
      <c r="I354" s="289">
        <f t="shared" si="282"/>
        <v>0</v>
      </c>
      <c r="J354" s="293" t="s">
        <v>384</v>
      </c>
    </row>
    <row r="355" spans="1:10" ht="21" x14ac:dyDescent="0.2">
      <c r="A355" s="281">
        <f>IF(C355&lt;&gt;"",1+MAX($A$6:A354),"")</f>
        <v>271</v>
      </c>
      <c r="B355" s="288" t="s">
        <v>386</v>
      </c>
      <c r="C355" s="283">
        <v>11</v>
      </c>
      <c r="D355" s="284" t="s">
        <v>20</v>
      </c>
      <c r="E355" s="291">
        <v>0</v>
      </c>
      <c r="F355" s="291">
        <v>0</v>
      </c>
      <c r="G355" s="292">
        <f t="shared" si="280"/>
        <v>0</v>
      </c>
      <c r="H355" s="292">
        <f t="shared" si="281"/>
        <v>0</v>
      </c>
      <c r="I355" s="289">
        <f t="shared" si="282"/>
        <v>0</v>
      </c>
      <c r="J355" s="293" t="s">
        <v>384</v>
      </c>
    </row>
    <row r="356" spans="1:10" ht="21" x14ac:dyDescent="0.2">
      <c r="A356" s="281">
        <f>IF(C356&lt;&gt;"",1+MAX($A$6:A355),"")</f>
        <v>272</v>
      </c>
      <c r="B356" s="288" t="s">
        <v>296</v>
      </c>
      <c r="C356" s="283">
        <v>15</v>
      </c>
      <c r="D356" s="284" t="s">
        <v>20</v>
      </c>
      <c r="E356" s="285">
        <f t="shared" ref="E356:F356" si="283">E$52</f>
        <v>0</v>
      </c>
      <c r="F356" s="285">
        <f t="shared" si="283"/>
        <v>0</v>
      </c>
      <c r="G356" s="292">
        <f t="shared" si="280"/>
        <v>0</v>
      </c>
      <c r="H356" s="292">
        <f t="shared" si="281"/>
        <v>0</v>
      </c>
      <c r="I356" s="289">
        <f t="shared" si="282"/>
        <v>0</v>
      </c>
      <c r="J356" s="293" t="s">
        <v>384</v>
      </c>
    </row>
    <row r="357" spans="1:10" ht="21" x14ac:dyDescent="0.2">
      <c r="A357" s="281">
        <f>IF(C357&lt;&gt;"",1+MAX($A$6:A356),"")</f>
        <v>273</v>
      </c>
      <c r="B357" s="288" t="s">
        <v>363</v>
      </c>
      <c r="C357" s="283">
        <v>4</v>
      </c>
      <c r="D357" s="284" t="s">
        <v>20</v>
      </c>
      <c r="E357" s="285">
        <f t="shared" ref="E357:F357" si="284">E$250</f>
        <v>0</v>
      </c>
      <c r="F357" s="285">
        <f t="shared" si="284"/>
        <v>0</v>
      </c>
      <c r="G357" s="292">
        <f t="shared" si="280"/>
        <v>0</v>
      </c>
      <c r="H357" s="292">
        <f t="shared" si="281"/>
        <v>0</v>
      </c>
      <c r="I357" s="289">
        <f t="shared" si="282"/>
        <v>0</v>
      </c>
      <c r="J357" s="293" t="s">
        <v>384</v>
      </c>
    </row>
    <row r="358" spans="1:10" ht="21" x14ac:dyDescent="0.2">
      <c r="A358" s="281">
        <f>IF(C358&lt;&gt;"",1+MAX($A$6:A357),"")</f>
        <v>274</v>
      </c>
      <c r="B358" s="288" t="s">
        <v>293</v>
      </c>
      <c r="C358" s="283">
        <v>25</v>
      </c>
      <c r="D358" s="284" t="s">
        <v>20</v>
      </c>
      <c r="E358" s="285">
        <f t="shared" ref="E358:F358" si="285">E$48</f>
        <v>0</v>
      </c>
      <c r="F358" s="285">
        <f t="shared" si="285"/>
        <v>0</v>
      </c>
      <c r="G358" s="292">
        <f t="shared" si="280"/>
        <v>0</v>
      </c>
      <c r="H358" s="292">
        <f t="shared" si="281"/>
        <v>0</v>
      </c>
      <c r="I358" s="289">
        <f t="shared" si="282"/>
        <v>0</v>
      </c>
      <c r="J358" s="293" t="s">
        <v>384</v>
      </c>
    </row>
    <row r="359" spans="1:10" ht="21" x14ac:dyDescent="0.2">
      <c r="A359" s="281">
        <f>IF(C359&lt;&gt;"",1+MAX($A$6:A358),"")</f>
        <v>275</v>
      </c>
      <c r="B359" s="288" t="s">
        <v>305</v>
      </c>
      <c r="C359" s="283">
        <v>46</v>
      </c>
      <c r="D359" s="284" t="s">
        <v>20</v>
      </c>
      <c r="E359" s="285">
        <f t="shared" ref="E359:F359" si="286">E$60</f>
        <v>0</v>
      </c>
      <c r="F359" s="285">
        <f t="shared" si="286"/>
        <v>0</v>
      </c>
      <c r="G359" s="292">
        <f t="shared" si="280"/>
        <v>0</v>
      </c>
      <c r="H359" s="292">
        <f t="shared" si="281"/>
        <v>0</v>
      </c>
      <c r="I359" s="289">
        <f t="shared" si="282"/>
        <v>0</v>
      </c>
      <c r="J359" s="293" t="s">
        <v>304</v>
      </c>
    </row>
    <row r="360" spans="1:10" ht="21" x14ac:dyDescent="0.2">
      <c r="A360" s="281">
        <f>IF(C360&lt;&gt;"",1+MAX($A$6:A359),"")</f>
        <v>276</v>
      </c>
      <c r="B360" s="288" t="s">
        <v>308</v>
      </c>
      <c r="C360" s="283">
        <v>26</v>
      </c>
      <c r="D360" s="284" t="s">
        <v>20</v>
      </c>
      <c r="E360" s="285">
        <f t="shared" ref="E360:F360" si="287">E$63</f>
        <v>0</v>
      </c>
      <c r="F360" s="285">
        <f t="shared" si="287"/>
        <v>0</v>
      </c>
      <c r="G360" s="292">
        <f t="shared" si="280"/>
        <v>0</v>
      </c>
      <c r="H360" s="292">
        <f t="shared" si="281"/>
        <v>0</v>
      </c>
      <c r="I360" s="289">
        <f t="shared" si="282"/>
        <v>0</v>
      </c>
      <c r="J360" s="293" t="s">
        <v>304</v>
      </c>
    </row>
    <row r="361" spans="1:10" ht="21" x14ac:dyDescent="0.2">
      <c r="A361" s="281">
        <f>IF(C361&lt;&gt;"",1+MAX($A$6:A360),"")</f>
        <v>277</v>
      </c>
      <c r="B361" s="288" t="s">
        <v>309</v>
      </c>
      <c r="C361" s="283">
        <v>1</v>
      </c>
      <c r="D361" s="284" t="s">
        <v>20</v>
      </c>
      <c r="E361" s="285">
        <f t="shared" ref="E361:F361" si="288">E$64</f>
        <v>0</v>
      </c>
      <c r="F361" s="285">
        <f t="shared" si="288"/>
        <v>0</v>
      </c>
      <c r="G361" s="292">
        <f t="shared" si="280"/>
        <v>0</v>
      </c>
      <c r="H361" s="292">
        <f t="shared" si="281"/>
        <v>0</v>
      </c>
      <c r="I361" s="289">
        <f t="shared" si="282"/>
        <v>0</v>
      </c>
      <c r="J361" s="293" t="s">
        <v>304</v>
      </c>
    </row>
    <row r="362" spans="1:10" ht="21" x14ac:dyDescent="0.2">
      <c r="A362" s="281" t="str">
        <f>IF(C362&lt;&gt;"",1+MAX($A$6:A361),"")</f>
        <v/>
      </c>
      <c r="B362" s="301"/>
      <c r="C362" s="302"/>
      <c r="D362" s="303"/>
      <c r="E362" s="285"/>
      <c r="F362" s="285"/>
      <c r="G362" s="285"/>
      <c r="H362" s="285"/>
      <c r="I362" s="289"/>
      <c r="J362" s="293"/>
    </row>
    <row r="363" spans="1:10" ht="21" x14ac:dyDescent="0.2">
      <c r="A363" s="281" t="str">
        <f>IF(C363&lt;&gt;"",1+MAX($A$6:A362),"")</f>
        <v/>
      </c>
      <c r="B363" s="282" t="s">
        <v>387</v>
      </c>
      <c r="C363" s="283"/>
      <c r="D363" s="284"/>
      <c r="E363" s="285"/>
      <c r="F363" s="285"/>
      <c r="G363" s="285"/>
      <c r="H363" s="285"/>
      <c r="I363" s="289"/>
      <c r="J363" s="293"/>
    </row>
    <row r="364" spans="1:10" ht="21" x14ac:dyDescent="0.2">
      <c r="A364" s="281" t="str">
        <f>IF(C364&lt;&gt;"",1+MAX($A$6:A363),"")</f>
        <v/>
      </c>
      <c r="B364" s="288"/>
      <c r="C364" s="283"/>
      <c r="D364" s="284"/>
      <c r="E364" s="285"/>
      <c r="F364" s="285"/>
      <c r="G364" s="292"/>
      <c r="H364" s="292"/>
      <c r="I364" s="289"/>
      <c r="J364" s="293"/>
    </row>
    <row r="365" spans="1:10" ht="21" x14ac:dyDescent="0.2">
      <c r="A365" s="281">
        <f>IF(C365&lt;&gt;"",1+MAX($A$6:A364),"")</f>
        <v>278</v>
      </c>
      <c r="B365" s="288" t="s">
        <v>289</v>
      </c>
      <c r="C365" s="283">
        <v>7</v>
      </c>
      <c r="D365" s="290" t="s">
        <v>20</v>
      </c>
      <c r="E365" s="285">
        <f t="shared" ref="E365:F365" si="289">E$41</f>
        <v>0</v>
      </c>
      <c r="F365" s="285">
        <f t="shared" si="289"/>
        <v>0</v>
      </c>
      <c r="G365" s="292">
        <f t="shared" ref="G365:G371" si="290">E365*C365</f>
        <v>0</v>
      </c>
      <c r="H365" s="292">
        <f t="shared" ref="H365:H371" si="291">F365*C365</f>
        <v>0</v>
      </c>
      <c r="I365" s="289">
        <f t="shared" ref="I365:I371" si="292">H365+G365</f>
        <v>0</v>
      </c>
      <c r="J365" s="293" t="s">
        <v>271</v>
      </c>
    </row>
    <row r="366" spans="1:10" ht="21" x14ac:dyDescent="0.2">
      <c r="A366" s="281">
        <f>IF(C366&lt;&gt;"",1+MAX($A$6:A365),"")</f>
        <v>279</v>
      </c>
      <c r="B366" s="288" t="s">
        <v>274</v>
      </c>
      <c r="C366" s="283">
        <v>87</v>
      </c>
      <c r="D366" s="290" t="s">
        <v>20</v>
      </c>
      <c r="E366" s="285">
        <f t="shared" ref="E366:F366" si="293">E$12</f>
        <v>0</v>
      </c>
      <c r="F366" s="285">
        <f t="shared" si="293"/>
        <v>0</v>
      </c>
      <c r="G366" s="292">
        <f t="shared" si="290"/>
        <v>0</v>
      </c>
      <c r="H366" s="292">
        <f t="shared" si="291"/>
        <v>0</v>
      </c>
      <c r="I366" s="289">
        <f t="shared" si="292"/>
        <v>0</v>
      </c>
      <c r="J366" s="293" t="s">
        <v>271</v>
      </c>
    </row>
    <row r="367" spans="1:10" ht="21" x14ac:dyDescent="0.2">
      <c r="A367" s="281">
        <f>IF(C367&lt;&gt;"",1+MAX($A$6:A366),"")</f>
        <v>280</v>
      </c>
      <c r="B367" s="288" t="s">
        <v>388</v>
      </c>
      <c r="C367" s="283">
        <v>97</v>
      </c>
      <c r="D367" s="284" t="s">
        <v>20</v>
      </c>
      <c r="E367" s="291">
        <v>0</v>
      </c>
      <c r="F367" s="291">
        <v>0</v>
      </c>
      <c r="G367" s="292">
        <f t="shared" si="290"/>
        <v>0</v>
      </c>
      <c r="H367" s="292">
        <f t="shared" si="291"/>
        <v>0</v>
      </c>
      <c r="I367" s="289">
        <f t="shared" si="292"/>
        <v>0</v>
      </c>
      <c r="J367" s="293" t="s">
        <v>273</v>
      </c>
    </row>
    <row r="368" spans="1:10" ht="21" x14ac:dyDescent="0.2">
      <c r="A368" s="281">
        <f>IF(C368&lt;&gt;"",1+MAX($A$6:A367),"")</f>
        <v>281</v>
      </c>
      <c r="B368" s="288" t="s">
        <v>343</v>
      </c>
      <c r="C368" s="283">
        <v>638</v>
      </c>
      <c r="D368" s="284" t="s">
        <v>20</v>
      </c>
      <c r="E368" s="285">
        <f t="shared" ref="E368:F368" si="294">E$147</f>
        <v>0</v>
      </c>
      <c r="F368" s="285">
        <f t="shared" si="294"/>
        <v>0</v>
      </c>
      <c r="G368" s="292">
        <f t="shared" si="290"/>
        <v>0</v>
      </c>
      <c r="H368" s="292">
        <f t="shared" si="291"/>
        <v>0</v>
      </c>
      <c r="I368" s="289">
        <f t="shared" si="292"/>
        <v>0</v>
      </c>
      <c r="J368" s="293" t="s">
        <v>273</v>
      </c>
    </row>
    <row r="369" spans="1:14" ht="21" x14ac:dyDescent="0.2">
      <c r="A369" s="281">
        <f>IF(C369&lt;&gt;"",1+MAX($A$6:A368),"")</f>
        <v>282</v>
      </c>
      <c r="B369" s="288" t="s">
        <v>289</v>
      </c>
      <c r="C369" s="283">
        <v>14</v>
      </c>
      <c r="D369" s="284" t="s">
        <v>20</v>
      </c>
      <c r="E369" s="285">
        <f t="shared" ref="E369:F369" si="295">E$41</f>
        <v>0</v>
      </c>
      <c r="F369" s="285">
        <f t="shared" si="295"/>
        <v>0</v>
      </c>
      <c r="G369" s="292">
        <f t="shared" si="290"/>
        <v>0</v>
      </c>
      <c r="H369" s="292">
        <f t="shared" si="291"/>
        <v>0</v>
      </c>
      <c r="I369" s="289">
        <f t="shared" si="292"/>
        <v>0</v>
      </c>
      <c r="J369" s="293" t="s">
        <v>275</v>
      </c>
    </row>
    <row r="370" spans="1:14" ht="21" x14ac:dyDescent="0.2">
      <c r="A370" s="281">
        <f>IF(C370&lt;&gt;"",1+MAX($A$6:A369),"")</f>
        <v>283</v>
      </c>
      <c r="B370" s="288" t="s">
        <v>274</v>
      </c>
      <c r="C370" s="283">
        <v>174</v>
      </c>
      <c r="D370" s="284" t="s">
        <v>20</v>
      </c>
      <c r="E370" s="285">
        <f t="shared" ref="E370:F370" si="296">E$12</f>
        <v>0</v>
      </c>
      <c r="F370" s="285">
        <f t="shared" si="296"/>
        <v>0</v>
      </c>
      <c r="G370" s="292">
        <f t="shared" si="290"/>
        <v>0</v>
      </c>
      <c r="H370" s="292">
        <f t="shared" si="291"/>
        <v>0</v>
      </c>
      <c r="I370" s="289">
        <f t="shared" si="292"/>
        <v>0</v>
      </c>
      <c r="J370" s="293" t="s">
        <v>275</v>
      </c>
    </row>
    <row r="371" spans="1:14" ht="21" x14ac:dyDescent="0.2">
      <c r="A371" s="281">
        <f>IF(C371&lt;&gt;"",1+MAX($A$6:A370),"")</f>
        <v>284</v>
      </c>
      <c r="B371" s="288" t="s">
        <v>276</v>
      </c>
      <c r="C371" s="283">
        <v>371</v>
      </c>
      <c r="D371" s="284" t="s">
        <v>20</v>
      </c>
      <c r="E371" s="285">
        <f t="shared" ref="E371:F371" si="297">E$13</f>
        <v>0</v>
      </c>
      <c r="F371" s="285">
        <f t="shared" si="297"/>
        <v>0</v>
      </c>
      <c r="G371" s="292">
        <f t="shared" si="290"/>
        <v>0</v>
      </c>
      <c r="H371" s="292">
        <f t="shared" si="291"/>
        <v>0</v>
      </c>
      <c r="I371" s="289">
        <f t="shared" si="292"/>
        <v>0</v>
      </c>
      <c r="J371" s="293" t="s">
        <v>277</v>
      </c>
    </row>
    <row r="372" spans="1:14" ht="21" x14ac:dyDescent="0.2">
      <c r="A372" s="281" t="str">
        <f>IF(C372&lt;&gt;"",1+MAX($A$6:A371),"")</f>
        <v/>
      </c>
      <c r="B372" s="288"/>
      <c r="C372" s="296"/>
      <c r="D372" s="284"/>
      <c r="E372" s="285"/>
      <c r="F372" s="285"/>
      <c r="G372" s="285"/>
      <c r="H372" s="285"/>
      <c r="I372" s="289"/>
      <c r="J372" s="293"/>
    </row>
    <row r="373" spans="1:14" ht="21" x14ac:dyDescent="0.2">
      <c r="A373" s="281" t="str">
        <f>IF(C373&lt;&gt;"",1+MAX($A$6:A372),"")</f>
        <v/>
      </c>
      <c r="B373" s="282" t="s">
        <v>497</v>
      </c>
      <c r="C373" s="296"/>
      <c r="D373" s="284"/>
      <c r="E373" s="285"/>
      <c r="F373" s="285"/>
      <c r="G373" s="292"/>
      <c r="H373" s="292"/>
      <c r="I373" s="289"/>
      <c r="J373" s="293"/>
    </row>
    <row r="374" spans="1:14" ht="21" x14ac:dyDescent="0.2">
      <c r="A374" s="281" t="str">
        <f>IF(C374&lt;&gt;"",1+MAX($A$6:A373),"")</f>
        <v/>
      </c>
      <c r="B374" s="288"/>
      <c r="C374" s="296"/>
      <c r="D374" s="284"/>
      <c r="E374" s="285"/>
      <c r="F374" s="285"/>
      <c r="G374" s="292"/>
      <c r="H374" s="292"/>
      <c r="I374" s="289"/>
      <c r="J374" s="293"/>
    </row>
    <row r="375" spans="1:14" ht="21" x14ac:dyDescent="0.2">
      <c r="A375" s="281">
        <f>IF(C375&lt;&gt;"",1+MAX($A$6:A374),"")</f>
        <v>285</v>
      </c>
      <c r="B375" s="288" t="s">
        <v>498</v>
      </c>
      <c r="C375" s="283">
        <v>102</v>
      </c>
      <c r="D375" s="284" t="s">
        <v>20</v>
      </c>
      <c r="E375" s="291">
        <v>0</v>
      </c>
      <c r="F375" s="291">
        <v>0</v>
      </c>
      <c r="G375" s="292">
        <f>E375*C375</f>
        <v>0</v>
      </c>
      <c r="H375" s="292">
        <f>F375*C375</f>
        <v>0</v>
      </c>
      <c r="I375" s="289">
        <f t="shared" ref="I375" si="298">H375+G375</f>
        <v>0</v>
      </c>
      <c r="J375" s="293" t="s">
        <v>499</v>
      </c>
    </row>
    <row r="376" spans="1:14" ht="21" x14ac:dyDescent="0.2">
      <c r="A376" s="281" t="str">
        <f>IF(C376&lt;&gt;"",1+MAX($A$6:A375),"")</f>
        <v/>
      </c>
      <c r="B376" s="288"/>
      <c r="C376" s="296"/>
      <c r="D376" s="284"/>
      <c r="E376" s="285"/>
      <c r="F376" s="285"/>
      <c r="G376" s="285"/>
      <c r="H376" s="285"/>
      <c r="I376" s="289"/>
      <c r="J376" s="293"/>
    </row>
    <row r="377" spans="1:14" ht="21" x14ac:dyDescent="0.2">
      <c r="A377" s="281" t="str">
        <f>IF(C377&lt;&gt;"",1+MAX($A$6:A376),"")</f>
        <v/>
      </c>
      <c r="B377" s="282" t="s">
        <v>389</v>
      </c>
      <c r="C377" s="296"/>
      <c r="D377" s="284"/>
      <c r="E377" s="285"/>
      <c r="F377" s="285"/>
      <c r="G377" s="292"/>
      <c r="H377" s="292"/>
      <c r="I377" s="289"/>
      <c r="J377" s="293"/>
    </row>
    <row r="378" spans="1:14" ht="21" x14ac:dyDescent="0.2">
      <c r="A378" s="281" t="str">
        <f>IF(C378&lt;&gt;"",1+MAX($A$6:A377),"")</f>
        <v/>
      </c>
      <c r="B378" s="288"/>
      <c r="C378" s="296"/>
      <c r="D378" s="284"/>
      <c r="E378" s="285"/>
      <c r="F378" s="285"/>
      <c r="G378" s="292"/>
      <c r="H378" s="292"/>
      <c r="I378" s="289"/>
      <c r="J378" s="293"/>
    </row>
    <row r="379" spans="1:14" ht="21" x14ac:dyDescent="0.2">
      <c r="A379" s="281">
        <f>IF(C379&lt;&gt;"",1+MAX($A$6:A378),"")</f>
        <v>286</v>
      </c>
      <c r="B379" s="288" t="s">
        <v>316</v>
      </c>
      <c r="C379" s="283">
        <v>30</v>
      </c>
      <c r="D379" s="284" t="s">
        <v>20</v>
      </c>
      <c r="E379" s="285">
        <f t="shared" ref="E379:F379" si="299">E$72</f>
        <v>0</v>
      </c>
      <c r="F379" s="285">
        <f t="shared" si="299"/>
        <v>0</v>
      </c>
      <c r="G379" s="292">
        <f>E379*C379</f>
        <v>0</v>
      </c>
      <c r="H379" s="292">
        <f>F379*C379</f>
        <v>0</v>
      </c>
      <c r="I379" s="289">
        <f t="shared" ref="I379:I382" si="300">H379+G379</f>
        <v>0</v>
      </c>
      <c r="J379" s="293" t="s">
        <v>390</v>
      </c>
    </row>
    <row r="380" spans="1:14" ht="21" x14ac:dyDescent="0.2">
      <c r="A380" s="281">
        <f>IF(C380&lt;&gt;"",1+MAX($A$6:A379),"")</f>
        <v>287</v>
      </c>
      <c r="B380" s="288" t="s">
        <v>281</v>
      </c>
      <c r="C380" s="283">
        <v>9</v>
      </c>
      <c r="D380" s="284" t="s">
        <v>20</v>
      </c>
      <c r="E380" s="285">
        <f t="shared" ref="E380:F380" si="301">E$22</f>
        <v>0</v>
      </c>
      <c r="F380" s="285">
        <f t="shared" si="301"/>
        <v>0</v>
      </c>
      <c r="G380" s="292">
        <f>E380*C380</f>
        <v>0</v>
      </c>
      <c r="H380" s="292">
        <f>F380*C380</f>
        <v>0</v>
      </c>
      <c r="I380" s="289">
        <f t="shared" si="300"/>
        <v>0</v>
      </c>
      <c r="J380" s="293" t="s">
        <v>391</v>
      </c>
    </row>
    <row r="381" spans="1:14" ht="21" x14ac:dyDescent="0.2">
      <c r="A381" s="281">
        <f>IF(C381&lt;&gt;"",1+MAX($A$6:A380),"")</f>
        <v>288</v>
      </c>
      <c r="B381" s="288" t="s">
        <v>392</v>
      </c>
      <c r="C381" s="283">
        <v>1189</v>
      </c>
      <c r="D381" s="284" t="s">
        <v>20</v>
      </c>
      <c r="E381" s="291">
        <v>0</v>
      </c>
      <c r="F381" s="291">
        <v>0</v>
      </c>
      <c r="G381" s="292">
        <f t="shared" ref="G381:G382" si="302">E381*C381</f>
        <v>0</v>
      </c>
      <c r="H381" s="292">
        <f t="shared" ref="H381:H382" si="303">F381*C381</f>
        <v>0</v>
      </c>
      <c r="I381" s="289">
        <f t="shared" si="300"/>
        <v>0</v>
      </c>
      <c r="J381" s="293" t="s">
        <v>393</v>
      </c>
    </row>
    <row r="382" spans="1:14" ht="21" x14ac:dyDescent="0.2">
      <c r="A382" s="281">
        <f>IF(C382&lt;&gt;"",1+MAX($A$6:A381),"")</f>
        <v>289</v>
      </c>
      <c r="B382" s="288" t="s">
        <v>394</v>
      </c>
      <c r="C382" s="283">
        <v>4756</v>
      </c>
      <c r="D382" s="290" t="s">
        <v>20</v>
      </c>
      <c r="E382" s="291">
        <v>0</v>
      </c>
      <c r="F382" s="291">
        <v>0</v>
      </c>
      <c r="G382" s="292">
        <f t="shared" si="302"/>
        <v>0</v>
      </c>
      <c r="H382" s="292">
        <f t="shared" si="303"/>
        <v>0</v>
      </c>
      <c r="I382" s="289">
        <f t="shared" si="300"/>
        <v>0</v>
      </c>
      <c r="J382" s="293" t="s">
        <v>395</v>
      </c>
      <c r="N382" s="298"/>
    </row>
    <row r="383" spans="1:14" ht="21" x14ac:dyDescent="0.2">
      <c r="A383" s="281" t="str">
        <f>IF(C383&lt;&gt;"",1+MAX($A$6:A382),"")</f>
        <v/>
      </c>
      <c r="B383" s="306"/>
      <c r="C383" s="307"/>
      <c r="D383" s="308"/>
      <c r="E383" s="285"/>
      <c r="F383" s="285"/>
      <c r="G383" s="292"/>
      <c r="H383" s="292"/>
      <c r="I383" s="289"/>
      <c r="J383" s="287"/>
    </row>
    <row r="384" spans="1:14" ht="21" x14ac:dyDescent="0.2">
      <c r="A384" s="281">
        <f>IF(C384&lt;&gt;"",1+MAX($A$6:A383),"")</f>
        <v>290</v>
      </c>
      <c r="B384" s="306" t="s">
        <v>396</v>
      </c>
      <c r="C384" s="283">
        <v>1</v>
      </c>
      <c r="D384" s="309" t="s">
        <v>20</v>
      </c>
      <c r="E384" s="291">
        <v>0</v>
      </c>
      <c r="F384" s="291">
        <v>0</v>
      </c>
      <c r="G384" s="292"/>
      <c r="H384" s="292">
        <f>F384*C384</f>
        <v>0</v>
      </c>
      <c r="I384" s="289">
        <f t="shared" ref="I384" si="304">H384+G384</f>
        <v>0</v>
      </c>
      <c r="J384" s="287"/>
    </row>
    <row r="385" spans="1:10" ht="21" x14ac:dyDescent="0.2">
      <c r="A385" s="281" t="str">
        <f>IF(C385&lt;&gt;"",1+MAX($A$6:A384),"")</f>
        <v/>
      </c>
      <c r="B385" s="310"/>
      <c r="C385" s="307"/>
      <c r="D385" s="308"/>
      <c r="E385" s="285"/>
      <c r="F385" s="285"/>
      <c r="G385" s="292"/>
      <c r="H385" s="292"/>
      <c r="I385" s="289"/>
      <c r="J385" s="287"/>
    </row>
    <row r="386" spans="1:10" ht="21" x14ac:dyDescent="0.2">
      <c r="A386" s="281" t="str">
        <f>IF(C386&lt;&gt;"",1+MAX($A$6:A385),"")</f>
        <v/>
      </c>
      <c r="B386" s="311" t="s">
        <v>397</v>
      </c>
      <c r="C386" s="307"/>
      <c r="D386" s="308"/>
      <c r="E386" s="285"/>
      <c r="F386" s="285"/>
      <c r="G386" s="292"/>
      <c r="H386" s="292"/>
      <c r="I386" s="289"/>
      <c r="J386" s="287"/>
    </row>
    <row r="387" spans="1:10" ht="21" x14ac:dyDescent="0.2">
      <c r="A387" s="281" t="str">
        <f>IF(C387&lt;&gt;"",1+MAX($A$6:A386),"")</f>
        <v/>
      </c>
      <c r="B387" s="310"/>
      <c r="C387" s="307"/>
      <c r="D387" s="308"/>
      <c r="E387" s="285"/>
      <c r="F387" s="285"/>
      <c r="G387" s="312" t="s">
        <v>398</v>
      </c>
      <c r="H387" s="312" t="s">
        <v>399</v>
      </c>
      <c r="I387" s="289"/>
      <c r="J387" s="287"/>
    </row>
    <row r="388" spans="1:10" ht="21.75" thickBot="1" x14ac:dyDescent="0.25">
      <c r="A388" s="281" t="str">
        <f>IF(C388&lt;&gt;"",1+MAX($A$6:A387),"")</f>
        <v/>
      </c>
      <c r="B388" s="313"/>
      <c r="C388" s="314"/>
      <c r="D388" s="315"/>
      <c r="E388" s="316"/>
      <c r="F388" s="316"/>
      <c r="G388" s="317">
        <f>SUM(G6:G385)</f>
        <v>0</v>
      </c>
      <c r="H388" s="317">
        <f>SUM(H6:H385)</f>
        <v>0</v>
      </c>
      <c r="I388" s="318"/>
      <c r="J388" s="287"/>
    </row>
    <row r="389" spans="1:10" ht="21.75" thickBot="1" x14ac:dyDescent="0.25">
      <c r="A389" s="472" t="s">
        <v>1014</v>
      </c>
      <c r="B389" s="473"/>
      <c r="C389" s="474"/>
      <c r="D389" s="475"/>
      <c r="E389" s="476"/>
      <c r="F389" s="476"/>
      <c r="G389" s="476"/>
      <c r="H389" s="477">
        <v>0.10249999999999999</v>
      </c>
      <c r="I389" s="478">
        <f>H389*H388</f>
        <v>0</v>
      </c>
      <c r="J389" s="319"/>
    </row>
    <row r="390" spans="1:10" ht="21.75" thickBot="1" x14ac:dyDescent="0.25">
      <c r="A390" s="466" t="s">
        <v>400</v>
      </c>
      <c r="B390" s="467"/>
      <c r="C390" s="468"/>
      <c r="D390" s="469"/>
      <c r="E390" s="470"/>
      <c r="F390" s="470"/>
      <c r="G390" s="470"/>
      <c r="H390" s="470"/>
      <c r="I390" s="471">
        <f>I389+H388+G388</f>
        <v>0</v>
      </c>
      <c r="J390" s="465"/>
    </row>
    <row r="391" spans="1:10" x14ac:dyDescent="0.2">
      <c r="D391" s="323"/>
      <c r="F391" s="326"/>
      <c r="G391" s="326"/>
      <c r="H391" s="326"/>
    </row>
  </sheetData>
  <pageMargins left="0.25" right="0.25" top="0.75" bottom="0.75" header="0.3" footer="0.3"/>
  <pageSetup scale="54" fitToHeight="0" orientation="landscape"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T45"/>
  <sheetViews>
    <sheetView view="pageBreakPreview" zoomScale="80" zoomScaleNormal="90" zoomScaleSheetLayoutView="80" workbookViewId="0">
      <pane ySplit="6" topLeftCell="A7" activePane="bottomLeft" state="frozen"/>
      <selection pane="bottomLeft" activeCell="A7" sqref="A7"/>
    </sheetView>
  </sheetViews>
  <sheetFormatPr defaultColWidth="9.6640625" defaultRowHeight="15.75" x14ac:dyDescent="0.2"/>
  <cols>
    <col min="1" max="1" width="15.21875" style="320" customWidth="1"/>
    <col min="2" max="2" width="53.44140625" style="321" customWidth="1"/>
    <col min="3" max="3" width="11.44140625" style="323" bestFit="1" customWidth="1"/>
    <col min="4" max="4" width="4.6640625" style="326" bestFit="1" customWidth="1"/>
    <col min="5" max="5" width="11" style="326" customWidth="1"/>
    <col min="6" max="6" width="12.21875" style="327" customWidth="1"/>
    <col min="7" max="7" width="15.44140625" style="321" customWidth="1"/>
    <col min="8" max="8" width="16.88671875" style="321" customWidth="1"/>
    <col min="9" max="9" width="15.77734375" style="325" customWidth="1"/>
    <col min="10" max="10" width="50.5546875" style="264" customWidth="1"/>
    <col min="11" max="11" width="11.109375" style="264" bestFit="1" customWidth="1"/>
    <col min="12" max="12" width="13.44140625" style="264" customWidth="1"/>
    <col min="13" max="13" width="11.109375" style="264" bestFit="1" customWidth="1"/>
    <col min="14" max="16384" width="9.6640625" style="264"/>
  </cols>
  <sheetData>
    <row r="1" spans="1:20" ht="18.75" x14ac:dyDescent="0.2">
      <c r="A1" s="680" t="s">
        <v>7</v>
      </c>
      <c r="B1" s="681"/>
      <c r="C1" s="682"/>
      <c r="D1" s="683"/>
      <c r="E1" s="683"/>
      <c r="F1" s="684"/>
      <c r="G1" s="684"/>
      <c r="H1" s="684"/>
      <c r="I1" s="684"/>
      <c r="J1" s="685" t="s">
        <v>261</v>
      </c>
    </row>
    <row r="2" spans="1:20" ht="21" x14ac:dyDescent="0.2">
      <c r="A2" s="265" t="s">
        <v>8</v>
      </c>
      <c r="B2" s="266"/>
      <c r="C2" s="267"/>
      <c r="D2" s="268"/>
      <c r="E2" s="269"/>
      <c r="F2" s="270"/>
      <c r="G2" s="270"/>
      <c r="H2" s="270"/>
      <c r="I2" s="270"/>
      <c r="J2" s="271"/>
    </row>
    <row r="3" spans="1:20" ht="21" x14ac:dyDescent="0.2">
      <c r="A3" s="272" t="s">
        <v>9</v>
      </c>
      <c r="B3" s="273">
        <v>44977</v>
      </c>
      <c r="C3" s="267"/>
      <c r="D3" s="274"/>
      <c r="E3" s="275"/>
      <c r="F3" s="270"/>
      <c r="G3" s="270"/>
      <c r="H3" s="276"/>
      <c r="I3" s="276"/>
      <c r="J3" s="277"/>
    </row>
    <row r="4" spans="1:20" ht="21" x14ac:dyDescent="0.2">
      <c r="A4" s="272" t="s">
        <v>10</v>
      </c>
      <c r="B4" s="273">
        <v>44869</v>
      </c>
      <c r="C4" s="267"/>
      <c r="D4" s="274"/>
      <c r="E4" s="275"/>
      <c r="F4" s="276"/>
      <c r="G4" s="276"/>
      <c r="H4" s="278"/>
      <c r="I4" s="278"/>
      <c r="J4" s="279"/>
    </row>
    <row r="5" spans="1:20" ht="21.75" thickBot="1" x14ac:dyDescent="0.25">
      <c r="A5" s="667" t="s">
        <v>401</v>
      </c>
      <c r="B5" s="668">
        <f>I$38</f>
        <v>0</v>
      </c>
      <c r="C5" s="267"/>
      <c r="D5" s="274"/>
      <c r="E5" s="669"/>
      <c r="F5" s="276"/>
      <c r="G5" s="276"/>
      <c r="H5" s="276"/>
      <c r="I5" s="276"/>
      <c r="J5" s="277"/>
    </row>
    <row r="6" spans="1:20" s="280" customFormat="1" ht="32.25" thickBot="1" x14ac:dyDescent="0.25">
      <c r="A6" s="675" t="s">
        <v>11</v>
      </c>
      <c r="B6" s="676" t="s">
        <v>1</v>
      </c>
      <c r="C6" s="676" t="s">
        <v>263</v>
      </c>
      <c r="D6" s="677" t="s">
        <v>0</v>
      </c>
      <c r="E6" s="676" t="s">
        <v>264</v>
      </c>
      <c r="F6" s="676" t="s">
        <v>265</v>
      </c>
      <c r="G6" s="676" t="s">
        <v>266</v>
      </c>
      <c r="H6" s="676" t="s">
        <v>267</v>
      </c>
      <c r="I6" s="678" t="s">
        <v>6</v>
      </c>
      <c r="J6" s="679" t="s">
        <v>268</v>
      </c>
      <c r="K6" s="264"/>
      <c r="L6" s="264"/>
      <c r="M6" s="264"/>
      <c r="N6" s="264"/>
      <c r="O6" s="264"/>
      <c r="P6" s="264"/>
      <c r="Q6" s="264"/>
      <c r="R6" s="264"/>
      <c r="S6" s="264"/>
      <c r="T6" s="264"/>
    </row>
    <row r="7" spans="1:20" ht="21" x14ac:dyDescent="0.2">
      <c r="A7" s="670" t="str">
        <f>IF(C7&lt;&gt;"",1+MAX($A$6:A6),"")</f>
        <v/>
      </c>
      <c r="B7" s="671"/>
      <c r="C7" s="672"/>
      <c r="D7" s="673"/>
      <c r="E7" s="304"/>
      <c r="F7" s="304"/>
      <c r="G7" s="304"/>
      <c r="H7" s="304"/>
      <c r="I7" s="305"/>
      <c r="J7" s="674"/>
    </row>
    <row r="8" spans="1:20" ht="21" x14ac:dyDescent="0.2">
      <c r="A8" s="281" t="str">
        <f>IF(C8&lt;&gt;"",1+MAX($A$6:A7),"")</f>
        <v/>
      </c>
      <c r="B8" s="282" t="s">
        <v>402</v>
      </c>
      <c r="C8" s="283"/>
      <c r="D8" s="284"/>
      <c r="E8" s="285"/>
      <c r="F8" s="285"/>
      <c r="G8" s="285"/>
      <c r="H8" s="285"/>
      <c r="I8" s="286"/>
      <c r="J8" s="287"/>
    </row>
    <row r="9" spans="1:20" ht="21" x14ac:dyDescent="0.2">
      <c r="A9" s="281" t="str">
        <f>IF(C9&lt;&gt;"",1+MAX($A$6:A8),"")</f>
        <v/>
      </c>
      <c r="B9" s="288"/>
      <c r="C9" s="283"/>
      <c r="D9" s="284"/>
      <c r="E9" s="285"/>
      <c r="F9" s="285"/>
      <c r="G9" s="285"/>
      <c r="H9" s="285"/>
      <c r="I9" s="289"/>
      <c r="J9" s="287"/>
    </row>
    <row r="10" spans="1:20" ht="22.5" customHeight="1" x14ac:dyDescent="0.2">
      <c r="A10" s="281">
        <f>IF(C10&lt;&gt;"",1+MAX($A$6:A9),"")</f>
        <v>1</v>
      </c>
      <c r="B10" s="288" t="s">
        <v>403</v>
      </c>
      <c r="C10" s="283">
        <v>2</v>
      </c>
      <c r="D10" s="290" t="s">
        <v>20</v>
      </c>
      <c r="E10" s="291">
        <v>0</v>
      </c>
      <c r="F10" s="291">
        <v>0</v>
      </c>
      <c r="G10" s="292">
        <f t="shared" ref="G10:G21" si="0">E10*C10</f>
        <v>0</v>
      </c>
      <c r="H10" s="292">
        <f t="shared" ref="H10:H21" si="1">F10*C10</f>
        <v>0</v>
      </c>
      <c r="I10" s="289">
        <f t="shared" ref="I10:I21" si="2">H10+G10</f>
        <v>0</v>
      </c>
      <c r="J10" s="293" t="s">
        <v>404</v>
      </c>
    </row>
    <row r="11" spans="1:20" ht="22.5" customHeight="1" x14ac:dyDescent="0.2">
      <c r="A11" s="281">
        <f>IF(C11&lt;&gt;"",1+MAX($A$6:A10),"")</f>
        <v>2</v>
      </c>
      <c r="B11" s="288" t="s">
        <v>405</v>
      </c>
      <c r="C11" s="283">
        <v>5</v>
      </c>
      <c r="D11" s="284" t="s">
        <v>20</v>
      </c>
      <c r="E11" s="291">
        <v>0</v>
      </c>
      <c r="F11" s="291">
        <v>0</v>
      </c>
      <c r="G11" s="292">
        <f t="shared" si="0"/>
        <v>0</v>
      </c>
      <c r="H11" s="292">
        <f t="shared" si="1"/>
        <v>0</v>
      </c>
      <c r="I11" s="289">
        <f t="shared" si="2"/>
        <v>0</v>
      </c>
      <c r="J11" s="293" t="s">
        <v>404</v>
      </c>
    </row>
    <row r="12" spans="1:20" ht="22.5" customHeight="1" x14ac:dyDescent="0.2">
      <c r="A12" s="281">
        <f>IF(C12&lt;&gt;"",1+MAX($A$6:A11),"")</f>
        <v>3</v>
      </c>
      <c r="B12" s="288" t="s">
        <v>406</v>
      </c>
      <c r="C12" s="283">
        <v>11</v>
      </c>
      <c r="D12" s="284" t="s">
        <v>20</v>
      </c>
      <c r="E12" s="291">
        <v>0</v>
      </c>
      <c r="F12" s="291">
        <v>0</v>
      </c>
      <c r="G12" s="292">
        <f t="shared" si="0"/>
        <v>0</v>
      </c>
      <c r="H12" s="292">
        <f t="shared" si="1"/>
        <v>0</v>
      </c>
      <c r="I12" s="289">
        <f t="shared" si="2"/>
        <v>0</v>
      </c>
      <c r="J12" s="293" t="s">
        <v>404</v>
      </c>
    </row>
    <row r="13" spans="1:20" ht="21" x14ac:dyDescent="0.2">
      <c r="A13" s="281">
        <f>IF(C13&lt;&gt;"",1+MAX($A$6:A12),"")</f>
        <v>4</v>
      </c>
      <c r="B13" s="288" t="s">
        <v>407</v>
      </c>
      <c r="C13" s="283">
        <v>13</v>
      </c>
      <c r="D13" s="284" t="s">
        <v>20</v>
      </c>
      <c r="E13" s="291">
        <v>0</v>
      </c>
      <c r="F13" s="291">
        <v>0</v>
      </c>
      <c r="G13" s="292">
        <f t="shared" si="0"/>
        <v>0</v>
      </c>
      <c r="H13" s="292">
        <f t="shared" si="1"/>
        <v>0</v>
      </c>
      <c r="I13" s="289">
        <f t="shared" si="2"/>
        <v>0</v>
      </c>
      <c r="J13" s="293" t="s">
        <v>404</v>
      </c>
    </row>
    <row r="14" spans="1:20" ht="22.5" customHeight="1" x14ac:dyDescent="0.2">
      <c r="A14" s="281">
        <f>IF(C14&lt;&gt;"",1+MAX($A$6:A13),"")</f>
        <v>5</v>
      </c>
      <c r="B14" s="288" t="s">
        <v>408</v>
      </c>
      <c r="C14" s="283">
        <v>5</v>
      </c>
      <c r="D14" s="284" t="s">
        <v>20</v>
      </c>
      <c r="E14" s="291">
        <v>0</v>
      </c>
      <c r="F14" s="291">
        <v>0</v>
      </c>
      <c r="G14" s="292">
        <f t="shared" si="0"/>
        <v>0</v>
      </c>
      <c r="H14" s="292">
        <f t="shared" si="1"/>
        <v>0</v>
      </c>
      <c r="I14" s="289">
        <f t="shared" si="2"/>
        <v>0</v>
      </c>
      <c r="J14" s="293" t="s">
        <v>404</v>
      </c>
    </row>
    <row r="15" spans="1:20" ht="22.5" customHeight="1" x14ac:dyDescent="0.2">
      <c r="A15" s="281">
        <f>IF(C15&lt;&gt;"",1+MAX($A$6:A14),"")</f>
        <v>6</v>
      </c>
      <c r="B15" s="288" t="s">
        <v>409</v>
      </c>
      <c r="C15" s="283">
        <v>2</v>
      </c>
      <c r="D15" s="284" t="s">
        <v>20</v>
      </c>
      <c r="E15" s="291">
        <v>0</v>
      </c>
      <c r="F15" s="291">
        <v>0</v>
      </c>
      <c r="G15" s="292">
        <f t="shared" si="0"/>
        <v>0</v>
      </c>
      <c r="H15" s="292">
        <f t="shared" si="1"/>
        <v>0</v>
      </c>
      <c r="I15" s="289">
        <f t="shared" si="2"/>
        <v>0</v>
      </c>
      <c r="J15" s="293" t="s">
        <v>404</v>
      </c>
    </row>
    <row r="16" spans="1:20" ht="22.5" customHeight="1" x14ac:dyDescent="0.2">
      <c r="A16" s="281">
        <f>IF(C16&lt;&gt;"",1+MAX($A$6:A15),"")</f>
        <v>7</v>
      </c>
      <c r="B16" s="288" t="s">
        <v>410</v>
      </c>
      <c r="C16" s="283">
        <v>4</v>
      </c>
      <c r="D16" s="290" t="s">
        <v>20</v>
      </c>
      <c r="E16" s="291">
        <v>0</v>
      </c>
      <c r="F16" s="291">
        <v>0</v>
      </c>
      <c r="G16" s="292">
        <f t="shared" si="0"/>
        <v>0</v>
      </c>
      <c r="H16" s="292">
        <f t="shared" si="1"/>
        <v>0</v>
      </c>
      <c r="I16" s="289">
        <f t="shared" si="2"/>
        <v>0</v>
      </c>
      <c r="J16" s="293" t="s">
        <v>404</v>
      </c>
    </row>
    <row r="17" spans="1:10" ht="22.5" customHeight="1" x14ac:dyDescent="0.2">
      <c r="A17" s="281">
        <f>IF(C17&lt;&gt;"",1+MAX($A$6:A16),"")</f>
        <v>8</v>
      </c>
      <c r="B17" s="288" t="s">
        <v>411</v>
      </c>
      <c r="C17" s="283">
        <v>2</v>
      </c>
      <c r="D17" s="290" t="s">
        <v>20</v>
      </c>
      <c r="E17" s="291">
        <v>0</v>
      </c>
      <c r="F17" s="291">
        <v>0</v>
      </c>
      <c r="G17" s="292">
        <f t="shared" si="0"/>
        <v>0</v>
      </c>
      <c r="H17" s="292">
        <f t="shared" si="1"/>
        <v>0</v>
      </c>
      <c r="I17" s="289">
        <f t="shared" si="2"/>
        <v>0</v>
      </c>
      <c r="J17" s="293" t="s">
        <v>404</v>
      </c>
    </row>
    <row r="18" spans="1:10" ht="22.5" customHeight="1" x14ac:dyDescent="0.2">
      <c r="A18" s="281">
        <f>IF(C18&lt;&gt;"",1+MAX($A$6:A17),"")</f>
        <v>9</v>
      </c>
      <c r="B18" s="288" t="s">
        <v>412</v>
      </c>
      <c r="C18" s="283">
        <v>1</v>
      </c>
      <c r="D18" s="290" t="s">
        <v>20</v>
      </c>
      <c r="E18" s="291">
        <v>0</v>
      </c>
      <c r="F18" s="291">
        <v>0</v>
      </c>
      <c r="G18" s="292">
        <f>E18*C18</f>
        <v>0</v>
      </c>
      <c r="H18" s="292">
        <f>F18*C18</f>
        <v>0</v>
      </c>
      <c r="I18" s="289">
        <f>H18+G18</f>
        <v>0</v>
      </c>
      <c r="J18" s="293" t="s">
        <v>404</v>
      </c>
    </row>
    <row r="19" spans="1:10" ht="21" x14ac:dyDescent="0.2">
      <c r="A19" s="281">
        <f>IF(C19&lt;&gt;"",1+MAX($A$6:A18),"")</f>
        <v>10</v>
      </c>
      <c r="B19" s="288" t="s">
        <v>413</v>
      </c>
      <c r="C19" s="283">
        <v>1</v>
      </c>
      <c r="D19" s="284" t="s">
        <v>20</v>
      </c>
      <c r="E19" s="291">
        <v>0</v>
      </c>
      <c r="F19" s="291">
        <v>0</v>
      </c>
      <c r="G19" s="292">
        <f>E19*C19</f>
        <v>0</v>
      </c>
      <c r="H19" s="292">
        <f>F19*C19</f>
        <v>0</v>
      </c>
      <c r="I19" s="289">
        <f>H19+G19</f>
        <v>0</v>
      </c>
      <c r="J19" s="293" t="s">
        <v>404</v>
      </c>
    </row>
    <row r="20" spans="1:10" ht="22.5" customHeight="1" x14ac:dyDescent="0.2">
      <c r="A20" s="281">
        <f>IF(C20&lt;&gt;"",1+MAX($A$6:A19),"")</f>
        <v>11</v>
      </c>
      <c r="B20" s="288" t="s">
        <v>414</v>
      </c>
      <c r="C20" s="283">
        <v>17</v>
      </c>
      <c r="D20" s="284" t="s">
        <v>20</v>
      </c>
      <c r="E20" s="291">
        <v>0</v>
      </c>
      <c r="F20" s="291">
        <v>0</v>
      </c>
      <c r="G20" s="292">
        <f>E20*C20</f>
        <v>0</v>
      </c>
      <c r="H20" s="292">
        <f>F20*C20</f>
        <v>0</v>
      </c>
      <c r="I20" s="289">
        <f>H20+G20</f>
        <v>0</v>
      </c>
      <c r="J20" s="293" t="s">
        <v>404</v>
      </c>
    </row>
    <row r="21" spans="1:10" ht="22.5" customHeight="1" x14ac:dyDescent="0.2">
      <c r="A21" s="281">
        <f>IF(C21&lt;&gt;"",1+MAX($A$6:A20),"")</f>
        <v>12</v>
      </c>
      <c r="B21" s="288" t="s">
        <v>415</v>
      </c>
      <c r="C21" s="283">
        <v>51</v>
      </c>
      <c r="D21" s="284" t="s">
        <v>20</v>
      </c>
      <c r="E21" s="291">
        <v>0</v>
      </c>
      <c r="F21" s="291">
        <v>0</v>
      </c>
      <c r="G21" s="292">
        <f t="shared" si="0"/>
        <v>0</v>
      </c>
      <c r="H21" s="292">
        <f t="shared" si="1"/>
        <v>0</v>
      </c>
      <c r="I21" s="289">
        <f t="shared" si="2"/>
        <v>0</v>
      </c>
      <c r="J21" s="293" t="s">
        <v>404</v>
      </c>
    </row>
    <row r="22" spans="1:10" ht="22.5" customHeight="1" x14ac:dyDescent="0.2">
      <c r="A22" s="281">
        <f>IF(C22&lt;&gt;"",1+MAX($A$6:A21),"")</f>
        <v>13</v>
      </c>
      <c r="B22" s="288" t="s">
        <v>416</v>
      </c>
      <c r="C22" s="283">
        <v>58</v>
      </c>
      <c r="D22" s="290" t="s">
        <v>20</v>
      </c>
      <c r="E22" s="291">
        <v>0</v>
      </c>
      <c r="F22" s="291">
        <v>0</v>
      </c>
      <c r="G22" s="292">
        <f>E22*C22</f>
        <v>0</v>
      </c>
      <c r="H22" s="292">
        <f>F22*C22</f>
        <v>0</v>
      </c>
      <c r="I22" s="289">
        <f>H22+G22</f>
        <v>0</v>
      </c>
      <c r="J22" s="293" t="s">
        <v>404</v>
      </c>
    </row>
    <row r="23" spans="1:10" ht="22.5" customHeight="1" x14ac:dyDescent="0.2">
      <c r="A23" s="281">
        <f>IF(C23&lt;&gt;"",1+MAX($A$6:A22),"")</f>
        <v>14</v>
      </c>
      <c r="B23" s="288" t="s">
        <v>417</v>
      </c>
      <c r="C23" s="283">
        <v>6</v>
      </c>
      <c r="D23" s="284" t="s">
        <v>20</v>
      </c>
      <c r="E23" s="291">
        <v>0</v>
      </c>
      <c r="F23" s="291">
        <v>0</v>
      </c>
      <c r="G23" s="292">
        <f>E23*C23</f>
        <v>0</v>
      </c>
      <c r="H23" s="292">
        <f>F23*C23</f>
        <v>0</v>
      </c>
      <c r="I23" s="289">
        <f>H23+G23</f>
        <v>0</v>
      </c>
      <c r="J23" s="293" t="s">
        <v>404</v>
      </c>
    </row>
    <row r="24" spans="1:10" ht="22.5" customHeight="1" x14ac:dyDescent="0.2">
      <c r="A24" s="281">
        <f>IF(C24&lt;&gt;"",1+MAX($A$6:A23),"")</f>
        <v>15</v>
      </c>
      <c r="B24" s="288" t="s">
        <v>418</v>
      </c>
      <c r="C24" s="283">
        <v>1</v>
      </c>
      <c r="D24" s="284" t="s">
        <v>20</v>
      </c>
      <c r="E24" s="291">
        <v>0</v>
      </c>
      <c r="F24" s="291">
        <v>0</v>
      </c>
      <c r="G24" s="292">
        <f>E24*C24</f>
        <v>0</v>
      </c>
      <c r="H24" s="292">
        <f>F24*C24</f>
        <v>0</v>
      </c>
      <c r="I24" s="289">
        <f>H24+G24</f>
        <v>0</v>
      </c>
      <c r="J24" s="293" t="s">
        <v>404</v>
      </c>
    </row>
    <row r="25" spans="1:10" ht="22.5" customHeight="1" x14ac:dyDescent="0.2">
      <c r="A25" s="281">
        <f>IF(C25&lt;&gt;"",1+MAX($A$6:A24),"")</f>
        <v>16</v>
      </c>
      <c r="B25" s="288" t="s">
        <v>419</v>
      </c>
      <c r="C25" s="283">
        <v>10</v>
      </c>
      <c r="D25" s="284" t="s">
        <v>20</v>
      </c>
      <c r="E25" s="291">
        <v>0</v>
      </c>
      <c r="F25" s="291">
        <v>0</v>
      </c>
      <c r="G25" s="292">
        <f>E25*C25</f>
        <v>0</v>
      </c>
      <c r="H25" s="292">
        <f>F25*C25</f>
        <v>0</v>
      </c>
      <c r="I25" s="289">
        <f>H25+G25</f>
        <v>0</v>
      </c>
      <c r="J25" s="293" t="s">
        <v>404</v>
      </c>
    </row>
    <row r="26" spans="1:10" ht="21" x14ac:dyDescent="0.2">
      <c r="A26" s="281">
        <f>IF(C26&lt;&gt;"",1+MAX($A$6:A25),"")</f>
        <v>17</v>
      </c>
      <c r="B26" s="288" t="s">
        <v>420</v>
      </c>
      <c r="C26" s="283">
        <v>24</v>
      </c>
      <c r="D26" s="284" t="s">
        <v>20</v>
      </c>
      <c r="E26" s="291">
        <v>0</v>
      </c>
      <c r="F26" s="291">
        <v>0</v>
      </c>
      <c r="G26" s="292">
        <f t="shared" ref="G26:G30" si="3">E26*C26</f>
        <v>0</v>
      </c>
      <c r="H26" s="292">
        <f t="shared" ref="H26:H30" si="4">F26*C26</f>
        <v>0</v>
      </c>
      <c r="I26" s="289">
        <f t="shared" ref="I26:I30" si="5">H26+G26</f>
        <v>0</v>
      </c>
      <c r="J26" s="293" t="s">
        <v>404</v>
      </c>
    </row>
    <row r="27" spans="1:10" ht="22.5" customHeight="1" x14ac:dyDescent="0.2">
      <c r="A27" s="281">
        <f>IF(C27&lt;&gt;"",1+MAX($A$6:A26),"")</f>
        <v>18</v>
      </c>
      <c r="B27" s="288" t="s">
        <v>421</v>
      </c>
      <c r="C27" s="283">
        <v>102</v>
      </c>
      <c r="D27" s="290" t="s">
        <v>20</v>
      </c>
      <c r="E27" s="291">
        <v>0</v>
      </c>
      <c r="F27" s="291">
        <v>0</v>
      </c>
      <c r="G27" s="292">
        <f t="shared" si="3"/>
        <v>0</v>
      </c>
      <c r="H27" s="292">
        <f t="shared" si="4"/>
        <v>0</v>
      </c>
      <c r="I27" s="289">
        <f t="shared" si="5"/>
        <v>0</v>
      </c>
      <c r="J27" s="293" t="s">
        <v>404</v>
      </c>
    </row>
    <row r="28" spans="1:10" ht="21" x14ac:dyDescent="0.2">
      <c r="A28" s="281">
        <f>IF(C28&lt;&gt;"",1+MAX($A$6:A27),"")</f>
        <v>19</v>
      </c>
      <c r="B28" s="288" t="s">
        <v>422</v>
      </c>
      <c r="C28" s="283">
        <v>9</v>
      </c>
      <c r="D28" s="284" t="s">
        <v>20</v>
      </c>
      <c r="E28" s="291">
        <v>0</v>
      </c>
      <c r="F28" s="291">
        <v>0</v>
      </c>
      <c r="G28" s="292">
        <f t="shared" si="3"/>
        <v>0</v>
      </c>
      <c r="H28" s="292">
        <f t="shared" si="4"/>
        <v>0</v>
      </c>
      <c r="I28" s="289">
        <f t="shared" si="5"/>
        <v>0</v>
      </c>
      <c r="J28" s="293" t="s">
        <v>404</v>
      </c>
    </row>
    <row r="29" spans="1:10" ht="21" x14ac:dyDescent="0.2">
      <c r="A29" s="281">
        <f>IF(C29&lt;&gt;"",1+MAX($A$6:A27),"")</f>
        <v>19</v>
      </c>
      <c r="B29" s="288" t="s">
        <v>423</v>
      </c>
      <c r="C29" s="283">
        <v>3</v>
      </c>
      <c r="D29" s="284" t="s">
        <v>20</v>
      </c>
      <c r="E29" s="291">
        <v>0</v>
      </c>
      <c r="F29" s="291">
        <v>0</v>
      </c>
      <c r="G29" s="292">
        <f t="shared" si="3"/>
        <v>0</v>
      </c>
      <c r="H29" s="292">
        <f t="shared" si="4"/>
        <v>0</v>
      </c>
      <c r="I29" s="289">
        <f t="shared" si="5"/>
        <v>0</v>
      </c>
      <c r="J29" s="293" t="s">
        <v>404</v>
      </c>
    </row>
    <row r="30" spans="1:10" ht="21" x14ac:dyDescent="0.2">
      <c r="A30" s="281">
        <f>IF(C30&lt;&gt;"",1+MAX($A$6:A28),"")</f>
        <v>20</v>
      </c>
      <c r="B30" s="288" t="s">
        <v>424</v>
      </c>
      <c r="C30" s="283">
        <v>14</v>
      </c>
      <c r="D30" s="284" t="s">
        <v>20</v>
      </c>
      <c r="E30" s="291">
        <v>0</v>
      </c>
      <c r="F30" s="291">
        <v>0</v>
      </c>
      <c r="G30" s="292">
        <f t="shared" si="3"/>
        <v>0</v>
      </c>
      <c r="H30" s="292">
        <f t="shared" si="4"/>
        <v>0</v>
      </c>
      <c r="I30" s="289">
        <f t="shared" si="5"/>
        <v>0</v>
      </c>
      <c r="J30" s="293" t="s">
        <v>404</v>
      </c>
    </row>
    <row r="31" spans="1:10" ht="21" x14ac:dyDescent="0.2">
      <c r="A31" s="281" t="str">
        <f>IF(C31&lt;&gt;"",1+MAX($A$6:A30),"")</f>
        <v/>
      </c>
      <c r="B31" s="306"/>
      <c r="C31" s="307"/>
      <c r="D31" s="308"/>
      <c r="E31" s="285"/>
      <c r="F31" s="285"/>
      <c r="G31" s="292"/>
      <c r="H31" s="292"/>
      <c r="I31" s="289"/>
      <c r="J31" s="287"/>
    </row>
    <row r="32" spans="1:10" ht="21" x14ac:dyDescent="0.2">
      <c r="A32" s="281">
        <f>IF(C32&lt;&gt;"",1+MAX($A$6:A31),"")</f>
        <v>21</v>
      </c>
      <c r="B32" s="306" t="s">
        <v>396</v>
      </c>
      <c r="C32" s="283">
        <v>1</v>
      </c>
      <c r="D32" s="309" t="s">
        <v>20</v>
      </c>
      <c r="E32" s="291">
        <v>0</v>
      </c>
      <c r="F32" s="291">
        <v>0</v>
      </c>
      <c r="G32" s="292"/>
      <c r="H32" s="292">
        <f>F32*C32</f>
        <v>0</v>
      </c>
      <c r="I32" s="289">
        <f t="shared" ref="I32" si="6">H32+G32</f>
        <v>0</v>
      </c>
      <c r="J32" s="287"/>
    </row>
    <row r="33" spans="1:10" ht="21" x14ac:dyDescent="0.2">
      <c r="A33" s="281" t="str">
        <f>IF(C33&lt;&gt;"",1+MAX($A$6:A32),"")</f>
        <v/>
      </c>
      <c r="B33" s="310"/>
      <c r="C33" s="307"/>
      <c r="D33" s="308"/>
      <c r="E33" s="285"/>
      <c r="F33" s="285"/>
      <c r="G33" s="292"/>
      <c r="H33" s="292"/>
      <c r="I33" s="289"/>
      <c r="J33" s="287"/>
    </row>
    <row r="34" spans="1:10" ht="21" x14ac:dyDescent="0.2">
      <c r="A34" s="281" t="str">
        <f>IF(C34&lt;&gt;"",1+MAX($A$6:A33),"")</f>
        <v/>
      </c>
      <c r="B34" s="311" t="s">
        <v>397</v>
      </c>
      <c r="C34" s="307"/>
      <c r="D34" s="308"/>
      <c r="E34" s="285"/>
      <c r="F34" s="285"/>
      <c r="G34" s="292"/>
      <c r="H34" s="292"/>
      <c r="I34" s="289"/>
      <c r="J34" s="287"/>
    </row>
    <row r="35" spans="1:10" ht="21" x14ac:dyDescent="0.2">
      <c r="A35" s="281" t="str">
        <f>IF(C35&lt;&gt;"",1+MAX($A$6:A34),"")</f>
        <v/>
      </c>
      <c r="B35" s="310"/>
      <c r="C35" s="307"/>
      <c r="D35" s="308"/>
      <c r="E35" s="285"/>
      <c r="F35" s="285"/>
      <c r="G35" s="312" t="s">
        <v>398</v>
      </c>
      <c r="H35" s="312" t="s">
        <v>399</v>
      </c>
      <c r="I35" s="289"/>
      <c r="J35" s="287"/>
    </row>
    <row r="36" spans="1:10" ht="21.75" thickBot="1" x14ac:dyDescent="0.25">
      <c r="A36" s="281" t="str">
        <f>IF(C36&lt;&gt;"",1+MAX($A$6:A35),"")</f>
        <v/>
      </c>
      <c r="B36" s="313"/>
      <c r="C36" s="314"/>
      <c r="D36" s="315"/>
      <c r="E36" s="316"/>
      <c r="F36" s="316"/>
      <c r="G36" s="317">
        <f>SUM(G6:G33)</f>
        <v>0</v>
      </c>
      <c r="H36" s="317">
        <f>SUM(H6:H33)</f>
        <v>0</v>
      </c>
      <c r="I36" s="318"/>
      <c r="J36" s="287"/>
    </row>
    <row r="37" spans="1:10" ht="21.75" thickBot="1" x14ac:dyDescent="0.25">
      <c r="A37" s="472" t="s">
        <v>1014</v>
      </c>
      <c r="B37" s="473"/>
      <c r="C37" s="474"/>
      <c r="D37" s="475"/>
      <c r="E37" s="476"/>
      <c r="F37" s="476"/>
      <c r="G37" s="476"/>
      <c r="H37" s="477">
        <v>0.10249999999999999</v>
      </c>
      <c r="I37" s="478">
        <f>H37*H36</f>
        <v>0</v>
      </c>
      <c r="J37" s="319"/>
    </row>
    <row r="38" spans="1:10" ht="21.75" thickBot="1" x14ac:dyDescent="0.25">
      <c r="A38" s="466" t="s">
        <v>425</v>
      </c>
      <c r="B38" s="467"/>
      <c r="C38" s="468"/>
      <c r="D38" s="469"/>
      <c r="E38" s="470"/>
      <c r="F38" s="470"/>
      <c r="G38" s="470"/>
      <c r="H38" s="470"/>
      <c r="I38" s="471">
        <f>I37+H36+G36</f>
        <v>0</v>
      </c>
      <c r="J38" s="465"/>
    </row>
    <row r="39" spans="1:10" x14ac:dyDescent="0.2">
      <c r="C39" s="322"/>
      <c r="D39" s="323"/>
      <c r="E39" s="324"/>
      <c r="F39" s="324"/>
    </row>
    <row r="40" spans="1:10" x14ac:dyDescent="0.2">
      <c r="D40" s="323"/>
      <c r="E40" s="324"/>
      <c r="F40" s="324"/>
      <c r="G40" s="326"/>
      <c r="H40" s="326"/>
    </row>
    <row r="41" spans="1:10" x14ac:dyDescent="0.2">
      <c r="D41" s="323"/>
      <c r="E41" s="324"/>
      <c r="F41" s="324"/>
      <c r="G41" s="326"/>
      <c r="H41" s="326"/>
    </row>
    <row r="42" spans="1:10" x14ac:dyDescent="0.2">
      <c r="D42" s="323"/>
      <c r="E42" s="324"/>
      <c r="F42" s="324"/>
      <c r="G42" s="326"/>
      <c r="H42" s="326"/>
    </row>
    <row r="43" spans="1:10" x14ac:dyDescent="0.2">
      <c r="D43" s="323"/>
      <c r="E43" s="324"/>
      <c r="F43" s="324"/>
      <c r="G43" s="326"/>
      <c r="H43" s="326"/>
    </row>
    <row r="44" spans="1:10" x14ac:dyDescent="0.2">
      <c r="D44" s="323"/>
      <c r="E44" s="324"/>
      <c r="F44" s="324"/>
      <c r="G44" s="326"/>
      <c r="H44" s="326"/>
    </row>
    <row r="45" spans="1:10" x14ac:dyDescent="0.2">
      <c r="D45" s="323"/>
      <c r="F45" s="326"/>
      <c r="G45" s="326"/>
      <c r="H45" s="326"/>
    </row>
  </sheetData>
  <pageMargins left="0.25" right="0.25" top="0.75" bottom="0.75" header="0.3" footer="0.3"/>
  <pageSetup scale="54" fitToHeight="0" orientation="landscape"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JT569"/>
  <sheetViews>
    <sheetView view="pageBreakPreview" zoomScale="90" zoomScaleNormal="100" zoomScaleSheetLayoutView="90" workbookViewId="0">
      <pane ySplit="6" topLeftCell="A7" activePane="bottomLeft" state="frozen"/>
      <selection activeCell="E32" sqref="E32"/>
      <selection pane="bottomLeft" activeCell="A7" sqref="A7"/>
    </sheetView>
  </sheetViews>
  <sheetFormatPr defaultColWidth="8.88671875" defaultRowHeight="15.75" x14ac:dyDescent="0.2"/>
  <cols>
    <col min="1" max="1" width="5.33203125" style="320" customWidth="1"/>
    <col min="2" max="2" width="9.33203125" style="326" customWidth="1"/>
    <col min="3" max="3" width="10.21875" style="326" customWidth="1"/>
    <col min="4" max="4" width="11" style="400" customWidth="1"/>
    <col min="5" max="5" width="42.5546875" style="321" customWidth="1"/>
    <col min="6" max="6" width="10" style="454" customWidth="1"/>
    <col min="7" max="7" width="7.88671875" style="323" customWidth="1"/>
    <col min="8" max="8" width="11.33203125" style="323" customWidth="1"/>
    <col min="9" max="9" width="6.5546875" style="326" customWidth="1"/>
    <col min="10" max="10" width="10.5546875" style="326" customWidth="1"/>
    <col min="11" max="11" width="11.5546875" style="325" customWidth="1"/>
    <col min="12" max="12" width="12.33203125" style="455" customWidth="1"/>
    <col min="13" max="13" width="10" style="346" bestFit="1" customWidth="1"/>
    <col min="14" max="23" width="8.88671875" style="346"/>
    <col min="24" max="16384" width="8.88671875" style="343"/>
  </cols>
  <sheetData>
    <row r="1" spans="1:280" s="336" customFormat="1" ht="19.5" thickBot="1" x14ac:dyDescent="0.25">
      <c r="A1" s="415" t="s">
        <v>7</v>
      </c>
      <c r="B1" s="412"/>
      <c r="C1" s="416"/>
      <c r="D1" s="412"/>
      <c r="E1" s="413"/>
      <c r="F1" s="417"/>
      <c r="G1" s="418"/>
      <c r="H1" s="412"/>
      <c r="I1" s="418"/>
      <c r="J1" s="412"/>
      <c r="K1" s="412"/>
      <c r="L1" s="419"/>
      <c r="M1" s="337"/>
      <c r="N1" s="337"/>
      <c r="O1" s="337"/>
      <c r="P1" s="337"/>
      <c r="Q1" s="337"/>
      <c r="R1" s="337"/>
      <c r="S1" s="337"/>
      <c r="T1" s="337"/>
      <c r="U1" s="337"/>
      <c r="V1" s="337"/>
      <c r="W1" s="337"/>
      <c r="X1" s="337"/>
      <c r="Y1" s="337"/>
      <c r="Z1" s="337"/>
      <c r="AA1" s="337"/>
      <c r="AB1" s="337"/>
      <c r="AC1" s="337"/>
      <c r="AD1" s="337"/>
      <c r="AE1" s="337"/>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8"/>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c r="IW1" s="337"/>
      <c r="IX1" s="337"/>
      <c r="IY1" s="337"/>
      <c r="IZ1" s="337"/>
      <c r="JA1" s="337"/>
      <c r="JB1" s="337"/>
      <c r="JC1" s="337"/>
      <c r="JD1" s="337"/>
      <c r="JE1" s="337"/>
      <c r="JF1" s="337"/>
      <c r="JG1" s="337"/>
      <c r="JH1" s="337"/>
      <c r="JI1" s="337"/>
      <c r="JJ1" s="337"/>
      <c r="JK1" s="337"/>
      <c r="JL1" s="337"/>
      <c r="JM1" s="337"/>
      <c r="JN1" s="337"/>
      <c r="JO1" s="337"/>
      <c r="JP1" s="337"/>
      <c r="JQ1" s="337"/>
      <c r="JR1" s="337"/>
      <c r="JS1" s="337"/>
      <c r="JT1" s="337"/>
    </row>
    <row r="2" spans="1:280" x14ac:dyDescent="0.2">
      <c r="A2" s="339" t="s">
        <v>8</v>
      </c>
      <c r="B2" s="340"/>
      <c r="C2" s="414"/>
      <c r="D2" s="341"/>
      <c r="E2" s="342"/>
      <c r="F2" s="341"/>
      <c r="G2" s="341"/>
      <c r="H2" s="341"/>
      <c r="I2" s="341"/>
      <c r="J2" s="341"/>
      <c r="K2" s="341"/>
      <c r="L2" s="420"/>
      <c r="M2" s="344"/>
      <c r="N2" s="345"/>
      <c r="O2" s="344"/>
      <c r="P2" s="345"/>
      <c r="Q2" s="345"/>
      <c r="R2" s="343"/>
      <c r="S2" s="343"/>
      <c r="T2" s="343"/>
    </row>
    <row r="3" spans="1:280" x14ac:dyDescent="0.2">
      <c r="A3" s="347" t="s">
        <v>501</v>
      </c>
      <c r="B3" s="340"/>
      <c r="C3" s="348">
        <v>44977</v>
      </c>
      <c r="D3" s="349"/>
      <c r="E3" s="350"/>
      <c r="F3" s="341"/>
      <c r="G3" s="341"/>
      <c r="H3" s="341"/>
      <c r="I3" s="341"/>
      <c r="J3" s="341"/>
      <c r="K3" s="341"/>
      <c r="L3" s="420"/>
      <c r="M3" s="344"/>
      <c r="N3" s="345"/>
      <c r="O3" s="345"/>
      <c r="P3" s="345"/>
      <c r="Q3" s="345"/>
      <c r="R3" s="343"/>
      <c r="S3" s="343"/>
      <c r="T3" s="343"/>
    </row>
    <row r="4" spans="1:280" x14ac:dyDescent="0.2">
      <c r="A4" s="347" t="s">
        <v>10</v>
      </c>
      <c r="B4" s="340"/>
      <c r="C4" s="348">
        <v>44869</v>
      </c>
      <c r="D4" s="349"/>
      <c r="E4" s="351"/>
      <c r="F4" s="341"/>
      <c r="G4" s="341"/>
      <c r="H4" s="341"/>
      <c r="I4" s="341"/>
      <c r="J4" s="341"/>
      <c r="K4" s="341"/>
      <c r="L4" s="420"/>
      <c r="M4" s="344"/>
      <c r="N4" s="345"/>
      <c r="O4" s="345"/>
      <c r="P4" s="345"/>
      <c r="Q4" s="345"/>
      <c r="R4" s="343"/>
      <c r="S4" s="343"/>
      <c r="T4" s="343"/>
    </row>
    <row r="5" spans="1:280" ht="16.5" thickBot="1" x14ac:dyDescent="0.25">
      <c r="A5" s="401" t="s">
        <v>502</v>
      </c>
      <c r="B5" s="402"/>
      <c r="C5" s="102">
        <f>L$529</f>
        <v>0</v>
      </c>
      <c r="D5" s="403"/>
      <c r="E5" s="403"/>
      <c r="F5" s="421"/>
      <c r="G5" s="421"/>
      <c r="H5" s="421"/>
      <c r="I5" s="421"/>
      <c r="J5" s="421"/>
      <c r="K5" s="403"/>
      <c r="L5" s="420"/>
      <c r="M5" s="345"/>
      <c r="N5" s="345"/>
      <c r="O5" s="345"/>
      <c r="P5" s="345"/>
      <c r="Q5" s="345"/>
      <c r="R5" s="343"/>
      <c r="S5" s="343"/>
      <c r="T5" s="343"/>
      <c r="U5" s="343"/>
      <c r="V5" s="343"/>
      <c r="W5" s="343"/>
    </row>
    <row r="6" spans="1:280" ht="32.25" customHeight="1" thickBot="1" x14ac:dyDescent="0.25">
      <c r="A6" s="407" t="s">
        <v>11</v>
      </c>
      <c r="B6" s="408" t="s">
        <v>503</v>
      </c>
      <c r="C6" s="408" t="s">
        <v>504</v>
      </c>
      <c r="D6" s="408" t="s">
        <v>505</v>
      </c>
      <c r="E6" s="409" t="s">
        <v>1</v>
      </c>
      <c r="F6" s="409" t="s">
        <v>506</v>
      </c>
      <c r="G6" s="409" t="s">
        <v>4</v>
      </c>
      <c r="H6" s="409" t="s">
        <v>5</v>
      </c>
      <c r="I6" s="408" t="s">
        <v>0</v>
      </c>
      <c r="J6" s="409" t="s">
        <v>507</v>
      </c>
      <c r="K6" s="410" t="s">
        <v>6</v>
      </c>
      <c r="L6" s="411" t="s">
        <v>508</v>
      </c>
      <c r="M6" s="345"/>
      <c r="N6" s="345"/>
      <c r="O6" s="345"/>
      <c r="P6" s="345"/>
      <c r="Q6" s="345"/>
      <c r="R6" s="343"/>
      <c r="S6" s="343"/>
      <c r="T6" s="343"/>
      <c r="U6" s="343"/>
      <c r="V6" s="343"/>
      <c r="W6" s="343"/>
    </row>
    <row r="7" spans="1:280" ht="19.5" thickBot="1" x14ac:dyDescent="0.25">
      <c r="A7" s="352" t="str">
        <f>IF(F7&lt;&gt;"",1+MAX($A$6:A6),"")</f>
        <v/>
      </c>
      <c r="B7" s="404"/>
      <c r="C7" s="405"/>
      <c r="D7" s="405" t="s">
        <v>509</v>
      </c>
      <c r="E7" s="406" t="s">
        <v>510</v>
      </c>
      <c r="F7" s="422"/>
      <c r="G7" s="406"/>
      <c r="H7" s="406"/>
      <c r="I7" s="406"/>
      <c r="J7" s="406"/>
      <c r="K7" s="406"/>
      <c r="L7" s="423"/>
      <c r="M7" s="345"/>
      <c r="N7" s="345"/>
      <c r="O7" s="345"/>
      <c r="P7" s="345"/>
      <c r="Q7" s="345"/>
      <c r="R7" s="343"/>
      <c r="S7" s="343"/>
      <c r="T7" s="343"/>
      <c r="U7" s="343"/>
      <c r="V7" s="343"/>
      <c r="W7" s="343"/>
    </row>
    <row r="8" spans="1:280" ht="19.5" thickBot="1" x14ac:dyDescent="0.25">
      <c r="A8" s="352" t="str">
        <f>IF(F8&lt;&gt;"",1+MAX($A$6:A7),"")</f>
        <v/>
      </c>
      <c r="B8" s="357"/>
      <c r="C8" s="358"/>
      <c r="D8" s="359" t="s">
        <v>511</v>
      </c>
      <c r="E8" s="360" t="s">
        <v>512</v>
      </c>
      <c r="F8" s="359"/>
      <c r="G8" s="424"/>
      <c r="H8" s="425"/>
      <c r="I8" s="426"/>
      <c r="J8" s="427"/>
      <c r="K8" s="428"/>
      <c r="L8" s="429"/>
      <c r="M8" s="345"/>
      <c r="N8" s="345"/>
      <c r="O8" s="345"/>
      <c r="P8" s="345"/>
      <c r="Q8" s="345"/>
      <c r="R8" s="343"/>
      <c r="S8" s="343"/>
      <c r="T8" s="343"/>
      <c r="U8" s="343"/>
      <c r="V8" s="343"/>
      <c r="W8" s="343"/>
    </row>
    <row r="9" spans="1:280" ht="81" customHeight="1" thickBot="1" x14ac:dyDescent="0.25">
      <c r="A9" s="352" t="str">
        <f>IF(F9&lt;&gt;"",1+MAX($A$6:A8),"")</f>
        <v/>
      </c>
      <c r="B9" s="141"/>
      <c r="C9" s="361"/>
      <c r="D9" s="362"/>
      <c r="E9" s="363" t="s">
        <v>513</v>
      </c>
      <c r="F9" s="430"/>
      <c r="G9" s="431"/>
      <c r="H9" s="430"/>
      <c r="I9" s="432"/>
      <c r="J9" s="134"/>
      <c r="K9" s="433"/>
      <c r="L9" s="434"/>
      <c r="M9" s="343"/>
      <c r="N9" s="343"/>
      <c r="O9" s="343"/>
      <c r="P9" s="343"/>
      <c r="Q9" s="343"/>
      <c r="R9" s="343"/>
      <c r="S9" s="343"/>
      <c r="T9" s="343"/>
      <c r="U9" s="343"/>
      <c r="V9" s="343"/>
      <c r="W9" s="343"/>
    </row>
    <row r="10" spans="1:280" ht="16.5" customHeight="1" thickBot="1" x14ac:dyDescent="0.25">
      <c r="A10" s="352" t="str">
        <f>IF(F10&lt;&gt;"",1+MAX($A$6:A9),"")</f>
        <v/>
      </c>
      <c r="B10" s="123"/>
      <c r="C10" s="364"/>
      <c r="D10" s="365"/>
      <c r="E10" s="366" t="s">
        <v>514</v>
      </c>
      <c r="F10" s="435"/>
      <c r="G10" s="431"/>
      <c r="H10" s="430"/>
      <c r="I10" s="432"/>
      <c r="J10" s="134"/>
      <c r="K10" s="428"/>
      <c r="L10" s="429"/>
      <c r="M10" s="345"/>
      <c r="N10" s="345"/>
      <c r="O10" s="345"/>
      <c r="P10" s="345"/>
      <c r="Q10" s="345"/>
      <c r="R10" s="343"/>
      <c r="S10" s="343"/>
      <c r="T10" s="343"/>
      <c r="U10" s="343"/>
      <c r="V10" s="343"/>
      <c r="W10" s="343"/>
    </row>
    <row r="11" spans="1:280" x14ac:dyDescent="0.2">
      <c r="A11" s="352">
        <f>IF(F11&lt;&gt;"",1+MAX($A$6:A10),"")</f>
        <v>1</v>
      </c>
      <c r="B11" s="367" t="s">
        <v>515</v>
      </c>
      <c r="C11" s="364"/>
      <c r="D11" s="368"/>
      <c r="E11" s="369" t="s">
        <v>516</v>
      </c>
      <c r="F11" s="128">
        <f>183.54+44.7</f>
        <v>228.24</v>
      </c>
      <c r="G11" s="436">
        <v>0.1</v>
      </c>
      <c r="H11" s="140">
        <f t="shared" ref="H11:H30" si="0">F11*(1+G11)</f>
        <v>251.06400000000002</v>
      </c>
      <c r="I11" s="141" t="s">
        <v>15</v>
      </c>
      <c r="J11" s="817">
        <v>0</v>
      </c>
      <c r="K11" s="437">
        <f>J11*H11</f>
        <v>0</v>
      </c>
      <c r="L11" s="429"/>
      <c r="M11" s="343"/>
      <c r="N11" s="343"/>
      <c r="O11" s="343"/>
      <c r="P11" s="343"/>
      <c r="Q11" s="343"/>
      <c r="R11" s="343"/>
      <c r="S11" s="343"/>
      <c r="T11" s="343"/>
      <c r="U11" s="343"/>
      <c r="V11" s="343"/>
      <c r="W11" s="343"/>
    </row>
    <row r="12" spans="1:280" x14ac:dyDescent="0.2">
      <c r="A12" s="352">
        <f>IF(F12&lt;&gt;"",1+MAX($A$6:A11),"")</f>
        <v>2</v>
      </c>
      <c r="B12" s="367" t="s">
        <v>515</v>
      </c>
      <c r="C12" s="364"/>
      <c r="D12" s="368"/>
      <c r="E12" s="369" t="s">
        <v>517</v>
      </c>
      <c r="F12" s="128">
        <v>81.73</v>
      </c>
      <c r="G12" s="436">
        <v>0.1</v>
      </c>
      <c r="H12" s="140">
        <f t="shared" si="0"/>
        <v>89.903000000000006</v>
      </c>
      <c r="I12" s="141" t="s">
        <v>15</v>
      </c>
      <c r="J12" s="817">
        <v>0</v>
      </c>
      <c r="K12" s="437">
        <f t="shared" ref="K12:K21" si="1">J12*H12</f>
        <v>0</v>
      </c>
      <c r="L12" s="429"/>
      <c r="M12" s="343"/>
      <c r="N12" s="343"/>
      <c r="O12" s="343"/>
      <c r="P12" s="343"/>
      <c r="Q12" s="343"/>
      <c r="R12" s="343"/>
      <c r="S12" s="343"/>
      <c r="T12" s="343"/>
      <c r="U12" s="343"/>
      <c r="V12" s="343"/>
      <c r="W12" s="343"/>
    </row>
    <row r="13" spans="1:280" x14ac:dyDescent="0.2">
      <c r="A13" s="352">
        <f>IF(F13&lt;&gt;"",1+MAX($A$6:A12),"")</f>
        <v>3</v>
      </c>
      <c r="B13" s="367" t="s">
        <v>515</v>
      </c>
      <c r="C13" s="364"/>
      <c r="D13" s="368"/>
      <c r="E13" s="369" t="s">
        <v>518</v>
      </c>
      <c r="F13" s="128">
        <f>275.5+2020.2</f>
        <v>2295.6999999999998</v>
      </c>
      <c r="G13" s="436">
        <v>0.1</v>
      </c>
      <c r="H13" s="140">
        <f t="shared" si="0"/>
        <v>2525.27</v>
      </c>
      <c r="I13" s="141" t="s">
        <v>15</v>
      </c>
      <c r="J13" s="817">
        <v>0</v>
      </c>
      <c r="K13" s="437">
        <f t="shared" si="1"/>
        <v>0</v>
      </c>
      <c r="L13" s="429"/>
      <c r="M13" s="343"/>
      <c r="N13" s="343"/>
      <c r="O13" s="343"/>
      <c r="P13" s="343"/>
      <c r="Q13" s="343"/>
      <c r="R13" s="343"/>
      <c r="S13" s="343"/>
      <c r="T13" s="343"/>
      <c r="U13" s="343"/>
      <c r="V13" s="343"/>
      <c r="W13" s="343"/>
    </row>
    <row r="14" spans="1:280" x14ac:dyDescent="0.2">
      <c r="A14" s="352">
        <f>IF(F14&lt;&gt;"",1+MAX($A$6:A13),"")</f>
        <v>4</v>
      </c>
      <c r="B14" s="367" t="s">
        <v>515</v>
      </c>
      <c r="C14" s="364"/>
      <c r="D14" s="368"/>
      <c r="E14" s="369" t="s">
        <v>519</v>
      </c>
      <c r="F14" s="128">
        <f>5.65+1096</f>
        <v>1101.6500000000001</v>
      </c>
      <c r="G14" s="436">
        <v>0.1</v>
      </c>
      <c r="H14" s="140">
        <f t="shared" si="0"/>
        <v>1211.8150000000003</v>
      </c>
      <c r="I14" s="141" t="s">
        <v>15</v>
      </c>
      <c r="J14" s="817">
        <v>0</v>
      </c>
      <c r="K14" s="437">
        <f t="shared" si="1"/>
        <v>0</v>
      </c>
      <c r="L14" s="429"/>
      <c r="M14" s="343"/>
      <c r="N14" s="343"/>
      <c r="O14" s="343"/>
      <c r="P14" s="343"/>
      <c r="Q14" s="343"/>
      <c r="R14" s="343"/>
      <c r="S14" s="343"/>
      <c r="T14" s="343"/>
      <c r="U14" s="343"/>
      <c r="V14" s="343"/>
      <c r="W14" s="343"/>
    </row>
    <row r="15" spans="1:280" x14ac:dyDescent="0.2">
      <c r="A15" s="352">
        <f>IF(F15&lt;&gt;"",1+MAX($A$6:A14),"")</f>
        <v>5</v>
      </c>
      <c r="B15" s="367" t="s">
        <v>515</v>
      </c>
      <c r="C15" s="364"/>
      <c r="D15" s="368"/>
      <c r="E15" s="369" t="s">
        <v>520</v>
      </c>
      <c r="F15" s="128">
        <f>3.54+495.3</f>
        <v>498.84000000000003</v>
      </c>
      <c r="G15" s="436">
        <v>0.1</v>
      </c>
      <c r="H15" s="140">
        <f t="shared" si="0"/>
        <v>548.72400000000005</v>
      </c>
      <c r="I15" s="141" t="s">
        <v>15</v>
      </c>
      <c r="J15" s="817">
        <v>0</v>
      </c>
      <c r="K15" s="437">
        <f t="shared" si="1"/>
        <v>0</v>
      </c>
      <c r="L15" s="429"/>
      <c r="M15" s="343"/>
      <c r="N15" s="343"/>
      <c r="O15" s="343"/>
      <c r="P15" s="343"/>
      <c r="Q15" s="343"/>
      <c r="R15" s="343"/>
      <c r="S15" s="343"/>
      <c r="T15" s="343"/>
      <c r="U15" s="343"/>
      <c r="V15" s="343"/>
      <c r="W15" s="343"/>
    </row>
    <row r="16" spans="1:280" x14ac:dyDescent="0.2">
      <c r="A16" s="352">
        <f>IF(F16&lt;&gt;"",1+MAX($A$6:A15),"")</f>
        <v>6</v>
      </c>
      <c r="B16" s="367" t="s">
        <v>515</v>
      </c>
      <c r="C16" s="364"/>
      <c r="D16" s="368"/>
      <c r="E16" s="369" t="s">
        <v>521</v>
      </c>
      <c r="F16" s="128">
        <v>76.47</v>
      </c>
      <c r="G16" s="436">
        <v>0.1</v>
      </c>
      <c r="H16" s="140">
        <f t="shared" si="0"/>
        <v>84.117000000000004</v>
      </c>
      <c r="I16" s="141" t="s">
        <v>15</v>
      </c>
      <c r="J16" s="817">
        <v>0</v>
      </c>
      <c r="K16" s="437">
        <f t="shared" si="1"/>
        <v>0</v>
      </c>
      <c r="L16" s="429"/>
      <c r="M16" s="343"/>
      <c r="N16" s="343"/>
      <c r="O16" s="343"/>
      <c r="P16" s="343"/>
      <c r="Q16" s="343"/>
      <c r="R16" s="343"/>
      <c r="S16" s="343"/>
      <c r="T16" s="343"/>
      <c r="U16" s="343"/>
      <c r="V16" s="343"/>
      <c r="W16" s="343"/>
    </row>
    <row r="17" spans="1:23" x14ac:dyDescent="0.2">
      <c r="A17" s="352">
        <f>IF(F17&lt;&gt;"",1+MAX($A$6:A16),"")</f>
        <v>7</v>
      </c>
      <c r="B17" s="367" t="s">
        <v>515</v>
      </c>
      <c r="C17" s="364"/>
      <c r="D17" s="368"/>
      <c r="E17" s="369" t="s">
        <v>522</v>
      </c>
      <c r="F17" s="128">
        <v>61.7</v>
      </c>
      <c r="G17" s="436">
        <v>0.1</v>
      </c>
      <c r="H17" s="140">
        <f t="shared" si="0"/>
        <v>67.87</v>
      </c>
      <c r="I17" s="141" t="s">
        <v>15</v>
      </c>
      <c r="J17" s="817">
        <v>0</v>
      </c>
      <c r="K17" s="437">
        <f t="shared" si="1"/>
        <v>0</v>
      </c>
      <c r="L17" s="429"/>
      <c r="M17" s="343"/>
      <c r="N17" s="343"/>
      <c r="O17" s="343"/>
      <c r="P17" s="343"/>
      <c r="Q17" s="343"/>
      <c r="R17" s="343"/>
      <c r="S17" s="343"/>
      <c r="T17" s="343"/>
      <c r="U17" s="343"/>
      <c r="V17" s="343"/>
      <c r="W17" s="343"/>
    </row>
    <row r="18" spans="1:23" x14ac:dyDescent="0.2">
      <c r="A18" s="352">
        <f>IF(F18&lt;&gt;"",1+MAX($A$6:A17),"")</f>
        <v>8</v>
      </c>
      <c r="B18" s="367" t="s">
        <v>515</v>
      </c>
      <c r="C18" s="364"/>
      <c r="D18" s="368"/>
      <c r="E18" s="369" t="s">
        <v>523</v>
      </c>
      <c r="F18" s="128">
        <v>316.19</v>
      </c>
      <c r="G18" s="436">
        <v>0.1</v>
      </c>
      <c r="H18" s="140">
        <f t="shared" si="0"/>
        <v>347.80900000000003</v>
      </c>
      <c r="I18" s="141" t="s">
        <v>15</v>
      </c>
      <c r="J18" s="817">
        <v>0</v>
      </c>
      <c r="K18" s="437">
        <f t="shared" si="1"/>
        <v>0</v>
      </c>
      <c r="L18" s="429"/>
      <c r="M18" s="800"/>
      <c r="N18" s="343"/>
      <c r="O18" s="343"/>
      <c r="P18" s="343"/>
      <c r="Q18" s="343"/>
      <c r="R18" s="343"/>
      <c r="S18" s="343"/>
      <c r="T18" s="343"/>
      <c r="U18" s="343"/>
      <c r="V18" s="343"/>
      <c r="W18" s="343"/>
    </row>
    <row r="19" spans="1:23" x14ac:dyDescent="0.2">
      <c r="A19" s="352">
        <f>IF(F19&lt;&gt;"",1+MAX($A$6:A18),"")</f>
        <v>9</v>
      </c>
      <c r="B19" s="367" t="s">
        <v>515</v>
      </c>
      <c r="C19" s="364"/>
      <c r="D19" s="368"/>
      <c r="E19" s="369" t="s">
        <v>524</v>
      </c>
      <c r="F19" s="128">
        <v>117.74</v>
      </c>
      <c r="G19" s="436">
        <v>0.1</v>
      </c>
      <c r="H19" s="140">
        <f t="shared" si="0"/>
        <v>129.51400000000001</v>
      </c>
      <c r="I19" s="141" t="s">
        <v>15</v>
      </c>
      <c r="J19" s="817">
        <v>0</v>
      </c>
      <c r="K19" s="437">
        <f t="shared" si="1"/>
        <v>0</v>
      </c>
      <c r="L19" s="429"/>
      <c r="M19" s="343"/>
      <c r="N19" s="343"/>
      <c r="O19" s="343"/>
      <c r="P19" s="343"/>
      <c r="Q19" s="343"/>
      <c r="R19" s="343"/>
      <c r="S19" s="343"/>
      <c r="T19" s="343"/>
      <c r="U19" s="343"/>
      <c r="V19" s="343"/>
      <c r="W19" s="343"/>
    </row>
    <row r="20" spans="1:23" x14ac:dyDescent="0.2">
      <c r="A20" s="352">
        <f>IF(F20&lt;&gt;"",1+MAX($A$6:A19),"")</f>
        <v>10</v>
      </c>
      <c r="B20" s="367" t="s">
        <v>515</v>
      </c>
      <c r="C20" s="364"/>
      <c r="D20" s="368"/>
      <c r="E20" s="369" t="s">
        <v>525</v>
      </c>
      <c r="F20" s="128">
        <v>339.57</v>
      </c>
      <c r="G20" s="436">
        <v>0.1</v>
      </c>
      <c r="H20" s="140">
        <f t="shared" si="0"/>
        <v>373.52700000000004</v>
      </c>
      <c r="I20" s="141" t="s">
        <v>15</v>
      </c>
      <c r="J20" s="817">
        <v>0</v>
      </c>
      <c r="K20" s="437">
        <f t="shared" si="1"/>
        <v>0</v>
      </c>
      <c r="L20" s="429"/>
      <c r="M20" s="343"/>
      <c r="N20" s="343"/>
      <c r="O20" s="343"/>
      <c r="P20" s="343"/>
      <c r="Q20" s="343"/>
      <c r="R20" s="343"/>
      <c r="S20" s="343"/>
      <c r="T20" s="343"/>
      <c r="U20" s="343"/>
      <c r="V20" s="343"/>
      <c r="W20" s="343"/>
    </row>
    <row r="21" spans="1:23" x14ac:dyDescent="0.2">
      <c r="A21" s="352">
        <f>IF(F21&lt;&gt;"",1+MAX($A$6:A20),"")</f>
        <v>11</v>
      </c>
      <c r="B21" s="367" t="s">
        <v>515</v>
      </c>
      <c r="C21" s="364"/>
      <c r="D21" s="368"/>
      <c r="E21" s="369" t="s">
        <v>526</v>
      </c>
      <c r="F21" s="128">
        <v>547.76</v>
      </c>
      <c r="G21" s="436">
        <v>0.1</v>
      </c>
      <c r="H21" s="140">
        <f t="shared" si="0"/>
        <v>602.53600000000006</v>
      </c>
      <c r="I21" s="141" t="s">
        <v>15</v>
      </c>
      <c r="J21" s="817">
        <v>0</v>
      </c>
      <c r="K21" s="437">
        <f t="shared" si="1"/>
        <v>0</v>
      </c>
      <c r="L21" s="429"/>
      <c r="M21" s="343"/>
      <c r="N21" s="343"/>
      <c r="O21" s="343"/>
      <c r="P21" s="343"/>
      <c r="Q21" s="343"/>
      <c r="R21" s="343"/>
      <c r="S21" s="343"/>
      <c r="T21" s="343"/>
      <c r="U21" s="343"/>
      <c r="V21" s="343"/>
      <c r="W21" s="343"/>
    </row>
    <row r="22" spans="1:23" x14ac:dyDescent="0.2">
      <c r="A22" s="352" t="str">
        <f>IF(F22&lt;&gt;"",1+MAX($A$6:A21),"")</f>
        <v/>
      </c>
      <c r="B22" s="141"/>
      <c r="C22" s="364"/>
      <c r="D22" s="370"/>
      <c r="E22" s="371"/>
      <c r="F22" s="430"/>
      <c r="G22" s="431"/>
      <c r="H22" s="430"/>
      <c r="I22" s="432"/>
      <c r="J22" s="134"/>
      <c r="K22" s="433"/>
      <c r="L22" s="434"/>
      <c r="M22" s="343"/>
      <c r="N22" s="343"/>
      <c r="O22" s="343"/>
      <c r="P22" s="343"/>
      <c r="Q22" s="343"/>
      <c r="R22" s="343"/>
      <c r="S22" s="343"/>
      <c r="T22" s="343"/>
      <c r="U22" s="343"/>
      <c r="V22" s="343"/>
      <c r="W22" s="343"/>
    </row>
    <row r="23" spans="1:23" x14ac:dyDescent="0.2">
      <c r="A23" s="352">
        <f>IF(F23&lt;&gt;"",1+MAX($A$6:A22),"")</f>
        <v>12</v>
      </c>
      <c r="B23" s="367" t="s">
        <v>515</v>
      </c>
      <c r="C23" s="364"/>
      <c r="D23" s="368"/>
      <c r="E23" s="369" t="s">
        <v>527</v>
      </c>
      <c r="F23" s="128">
        <v>42.8</v>
      </c>
      <c r="G23" s="436">
        <v>0.1</v>
      </c>
      <c r="H23" s="140">
        <f t="shared" ref="H23:H28" si="2">F23*(1+G23)</f>
        <v>47.08</v>
      </c>
      <c r="I23" s="141" t="s">
        <v>15</v>
      </c>
      <c r="J23" s="438">
        <f t="shared" ref="J23" si="3">J$11</f>
        <v>0</v>
      </c>
      <c r="K23" s="437">
        <f t="shared" ref="K23:K30" si="4">J23*H23</f>
        <v>0</v>
      </c>
      <c r="L23" s="429"/>
      <c r="M23" s="343"/>
      <c r="N23" s="343"/>
      <c r="O23" s="343"/>
      <c r="P23" s="343"/>
      <c r="Q23" s="343"/>
      <c r="R23" s="343"/>
      <c r="S23" s="343"/>
      <c r="T23" s="343"/>
      <c r="U23" s="343"/>
      <c r="V23" s="343"/>
      <c r="W23" s="343"/>
    </row>
    <row r="24" spans="1:23" x14ac:dyDescent="0.2">
      <c r="A24" s="352">
        <f>IF(F24&lt;&gt;"",1+MAX($A$6:A23),"")</f>
        <v>13</v>
      </c>
      <c r="B24" s="367" t="s">
        <v>515</v>
      </c>
      <c r="C24" s="364"/>
      <c r="D24" s="368"/>
      <c r="E24" s="369" t="s">
        <v>528</v>
      </c>
      <c r="F24" s="128">
        <f>144.612+1802</f>
        <v>1946.6120000000001</v>
      </c>
      <c r="G24" s="436">
        <v>0.1</v>
      </c>
      <c r="H24" s="140">
        <f t="shared" si="2"/>
        <v>2141.2732000000001</v>
      </c>
      <c r="I24" s="141" t="s">
        <v>15</v>
      </c>
      <c r="J24" s="438">
        <f t="shared" ref="J24" si="5">J$13</f>
        <v>0</v>
      </c>
      <c r="K24" s="437">
        <f t="shared" si="4"/>
        <v>0</v>
      </c>
      <c r="L24" s="429"/>
      <c r="M24" s="343"/>
      <c r="N24" s="343"/>
      <c r="O24" s="343"/>
      <c r="P24" s="343"/>
      <c r="Q24" s="343"/>
      <c r="R24" s="343"/>
      <c r="S24" s="343"/>
      <c r="T24" s="343"/>
      <c r="U24" s="343"/>
      <c r="V24" s="343"/>
      <c r="W24" s="343"/>
    </row>
    <row r="25" spans="1:23" x14ac:dyDescent="0.2">
      <c r="A25" s="352">
        <f>IF(F25&lt;&gt;"",1+MAX($A$6:A24),"")</f>
        <v>14</v>
      </c>
      <c r="B25" s="367" t="s">
        <v>515</v>
      </c>
      <c r="C25" s="364"/>
      <c r="D25" s="368"/>
      <c r="E25" s="369" t="s">
        <v>529</v>
      </c>
      <c r="F25" s="128">
        <f>10.32+1457.5</f>
        <v>1467.82</v>
      </c>
      <c r="G25" s="436">
        <v>0.1</v>
      </c>
      <c r="H25" s="140">
        <f t="shared" si="2"/>
        <v>1614.6020000000001</v>
      </c>
      <c r="I25" s="141" t="s">
        <v>15</v>
      </c>
      <c r="J25" s="438">
        <f t="shared" ref="J25" si="6">J$14</f>
        <v>0</v>
      </c>
      <c r="K25" s="437">
        <f t="shared" si="4"/>
        <v>0</v>
      </c>
      <c r="L25" s="429"/>
      <c r="M25" s="343"/>
      <c r="N25" s="343"/>
      <c r="O25" s="343"/>
      <c r="P25" s="343"/>
      <c r="Q25" s="343"/>
      <c r="R25" s="343"/>
      <c r="S25" s="343"/>
      <c r="T25" s="343"/>
      <c r="U25" s="343"/>
      <c r="V25" s="343"/>
      <c r="W25" s="343"/>
    </row>
    <row r="26" spans="1:23" x14ac:dyDescent="0.2">
      <c r="A26" s="352">
        <f>IF(F26&lt;&gt;"",1+MAX($A$6:A25),"")</f>
        <v>15</v>
      </c>
      <c r="B26" s="367" t="s">
        <v>515</v>
      </c>
      <c r="C26" s="364"/>
      <c r="D26" s="368"/>
      <c r="E26" s="369" t="s">
        <v>530</v>
      </c>
      <c r="F26" s="128">
        <f>6.06+33.2</f>
        <v>39.260000000000005</v>
      </c>
      <c r="G26" s="436">
        <v>0.1</v>
      </c>
      <c r="H26" s="140">
        <f t="shared" si="2"/>
        <v>43.186000000000007</v>
      </c>
      <c r="I26" s="141" t="s">
        <v>15</v>
      </c>
      <c r="J26" s="438">
        <f t="shared" ref="J26" si="7">J$15</f>
        <v>0</v>
      </c>
      <c r="K26" s="437">
        <f t="shared" si="4"/>
        <v>0</v>
      </c>
      <c r="L26" s="429"/>
      <c r="M26" s="343"/>
      <c r="N26" s="343"/>
      <c r="O26" s="343"/>
      <c r="P26" s="343"/>
      <c r="Q26" s="343"/>
      <c r="R26" s="343"/>
      <c r="S26" s="343"/>
      <c r="T26" s="343"/>
      <c r="U26" s="343"/>
      <c r="V26" s="343"/>
      <c r="W26" s="343"/>
    </row>
    <row r="27" spans="1:23" x14ac:dyDescent="0.2">
      <c r="A27" s="352">
        <f>IF(F27&lt;&gt;"",1+MAX($A$6:A26),"")</f>
        <v>16</v>
      </c>
      <c r="B27" s="367" t="s">
        <v>515</v>
      </c>
      <c r="C27" s="364"/>
      <c r="D27" s="368"/>
      <c r="E27" s="369" t="s">
        <v>531</v>
      </c>
      <c r="F27" s="128">
        <v>19.68</v>
      </c>
      <c r="G27" s="436">
        <v>0.1</v>
      </c>
      <c r="H27" s="140">
        <f t="shared" si="2"/>
        <v>21.648</v>
      </c>
      <c r="I27" s="141" t="s">
        <v>15</v>
      </c>
      <c r="J27" s="438">
        <f t="shared" ref="J27" si="8">J$16</f>
        <v>0</v>
      </c>
      <c r="K27" s="437">
        <f t="shared" si="4"/>
        <v>0</v>
      </c>
      <c r="L27" s="429"/>
      <c r="M27" s="343"/>
      <c r="N27" s="343"/>
      <c r="O27" s="343"/>
      <c r="P27" s="343"/>
      <c r="Q27" s="343"/>
      <c r="R27" s="343"/>
      <c r="S27" s="343"/>
      <c r="T27" s="343"/>
      <c r="U27" s="343"/>
      <c r="V27" s="343"/>
      <c r="W27" s="343"/>
    </row>
    <row r="28" spans="1:23" x14ac:dyDescent="0.2">
      <c r="A28" s="352">
        <f>IF(F28&lt;&gt;"",1+MAX($A$6:A27),"")</f>
        <v>17</v>
      </c>
      <c r="B28" s="367" t="s">
        <v>515</v>
      </c>
      <c r="C28" s="364"/>
      <c r="D28" s="368"/>
      <c r="E28" s="369" t="s">
        <v>532</v>
      </c>
      <c r="F28" s="128">
        <v>128.55000000000001</v>
      </c>
      <c r="G28" s="436">
        <v>0.1</v>
      </c>
      <c r="H28" s="140">
        <f t="shared" si="2"/>
        <v>141.40500000000003</v>
      </c>
      <c r="I28" s="141" t="s">
        <v>15</v>
      </c>
      <c r="J28" s="438">
        <f t="shared" ref="J28" si="9">J$17</f>
        <v>0</v>
      </c>
      <c r="K28" s="437">
        <f t="shared" si="4"/>
        <v>0</v>
      </c>
      <c r="L28" s="429"/>
      <c r="M28" s="343"/>
      <c r="N28" s="343"/>
      <c r="O28" s="343"/>
      <c r="P28" s="343"/>
      <c r="Q28" s="343"/>
      <c r="R28" s="343"/>
      <c r="S28" s="343"/>
      <c r="T28" s="343"/>
      <c r="U28" s="343"/>
      <c r="V28" s="343"/>
      <c r="W28" s="343"/>
    </row>
    <row r="29" spans="1:23" x14ac:dyDescent="0.2">
      <c r="A29" s="352">
        <f>IF(F29&lt;&gt;"",1+MAX($A$6:A28),"")</f>
        <v>18</v>
      </c>
      <c r="B29" s="367" t="s">
        <v>515</v>
      </c>
      <c r="C29" s="364"/>
      <c r="D29" s="368"/>
      <c r="E29" s="369" t="s">
        <v>533</v>
      </c>
      <c r="F29" s="128">
        <v>486.08</v>
      </c>
      <c r="G29" s="436">
        <v>0.1</v>
      </c>
      <c r="H29" s="140">
        <f t="shared" si="0"/>
        <v>534.68799999999999</v>
      </c>
      <c r="I29" s="141" t="s">
        <v>15</v>
      </c>
      <c r="J29" s="438">
        <f t="shared" ref="J29" si="10">J$18</f>
        <v>0</v>
      </c>
      <c r="K29" s="437">
        <f t="shared" si="4"/>
        <v>0</v>
      </c>
      <c r="L29" s="429"/>
      <c r="M29" s="343"/>
      <c r="N29" s="343"/>
      <c r="O29" s="343"/>
      <c r="P29" s="343"/>
      <c r="Q29" s="343"/>
      <c r="R29" s="343"/>
      <c r="S29" s="343"/>
      <c r="T29" s="343"/>
      <c r="U29" s="343"/>
      <c r="V29" s="343"/>
      <c r="W29" s="343"/>
    </row>
    <row r="30" spans="1:23" x14ac:dyDescent="0.2">
      <c r="A30" s="352">
        <f>IF(F30&lt;&gt;"",1+MAX($A$6:A29),"")</f>
        <v>19</v>
      </c>
      <c r="B30" s="367" t="s">
        <v>515</v>
      </c>
      <c r="C30" s="364"/>
      <c r="D30" s="368"/>
      <c r="E30" s="369" t="s">
        <v>534</v>
      </c>
      <c r="F30" s="128">
        <v>57.76</v>
      </c>
      <c r="G30" s="436">
        <v>0.1</v>
      </c>
      <c r="H30" s="140">
        <f t="shared" si="0"/>
        <v>63.536000000000001</v>
      </c>
      <c r="I30" s="141" t="s">
        <v>15</v>
      </c>
      <c r="J30" s="799">
        <f>J$19</f>
        <v>0</v>
      </c>
      <c r="K30" s="437">
        <f t="shared" si="4"/>
        <v>0</v>
      </c>
      <c r="L30" s="429"/>
      <c r="M30" s="343"/>
      <c r="N30" s="343"/>
      <c r="O30" s="343"/>
      <c r="P30" s="343"/>
      <c r="Q30" s="343"/>
      <c r="R30" s="343"/>
      <c r="S30" s="343"/>
      <c r="T30" s="343"/>
      <c r="U30" s="343"/>
      <c r="V30" s="343"/>
      <c r="W30" s="343"/>
    </row>
    <row r="31" spans="1:23" x14ac:dyDescent="0.2">
      <c r="A31" s="352" t="str">
        <f>IF(F31&lt;&gt;"",1+MAX($A$6:A30),"")</f>
        <v/>
      </c>
      <c r="B31" s="141"/>
      <c r="C31" s="364"/>
      <c r="D31" s="370"/>
      <c r="E31" s="371"/>
      <c r="F31" s="430"/>
      <c r="G31" s="431"/>
      <c r="H31" s="430"/>
      <c r="I31" s="432"/>
      <c r="J31" s="134"/>
      <c r="K31" s="433"/>
      <c r="L31" s="434"/>
      <c r="M31" s="343"/>
      <c r="N31" s="343"/>
      <c r="O31" s="343"/>
      <c r="P31" s="343"/>
      <c r="Q31" s="343"/>
      <c r="R31" s="343"/>
      <c r="S31" s="343"/>
      <c r="T31" s="343"/>
      <c r="U31" s="343"/>
      <c r="V31" s="343"/>
      <c r="W31" s="343"/>
    </row>
    <row r="32" spans="1:23" x14ac:dyDescent="0.2">
      <c r="A32" s="352">
        <f>IF(F32&lt;&gt;"",1+MAX($A$6:A31),"")</f>
        <v>20</v>
      </c>
      <c r="B32" s="367" t="s">
        <v>515</v>
      </c>
      <c r="C32" s="364"/>
      <c r="D32" s="368"/>
      <c r="E32" s="369" t="s">
        <v>535</v>
      </c>
      <c r="F32" s="128">
        <v>532.84</v>
      </c>
      <c r="G32" s="436">
        <v>0.1</v>
      </c>
      <c r="H32" s="140">
        <f t="shared" ref="H32:H33" si="11">F32*(1+G32)</f>
        <v>586.12400000000014</v>
      </c>
      <c r="I32" s="141" t="s">
        <v>15</v>
      </c>
      <c r="J32" s="438">
        <f t="shared" ref="J32" si="12">J$13</f>
        <v>0</v>
      </c>
      <c r="K32" s="437">
        <f t="shared" ref="K32:K33" si="13">J32*H32</f>
        <v>0</v>
      </c>
      <c r="L32" s="429"/>
      <c r="M32" s="343"/>
      <c r="N32" s="343"/>
      <c r="O32" s="343"/>
      <c r="P32" s="343"/>
      <c r="Q32" s="343"/>
      <c r="R32" s="343"/>
      <c r="S32" s="343"/>
      <c r="T32" s="343"/>
      <c r="U32" s="343"/>
      <c r="V32" s="343"/>
      <c r="W32" s="343"/>
    </row>
    <row r="33" spans="1:23" x14ac:dyDescent="0.2">
      <c r="A33" s="352">
        <f>IF(F33&lt;&gt;"",1+MAX($A$6:A32),"")</f>
        <v>21</v>
      </c>
      <c r="B33" s="367" t="s">
        <v>515</v>
      </c>
      <c r="C33" s="364"/>
      <c r="D33" s="368"/>
      <c r="E33" s="369" t="s">
        <v>536</v>
      </c>
      <c r="F33" s="128">
        <v>175.01</v>
      </c>
      <c r="G33" s="436">
        <v>0.1</v>
      </c>
      <c r="H33" s="140">
        <f t="shared" si="11"/>
        <v>192.511</v>
      </c>
      <c r="I33" s="141" t="s">
        <v>15</v>
      </c>
      <c r="J33" s="438">
        <f t="shared" ref="J33" si="14">J$14</f>
        <v>0</v>
      </c>
      <c r="K33" s="437">
        <f t="shared" si="13"/>
        <v>0</v>
      </c>
      <c r="L33" s="429"/>
      <c r="M33" s="343"/>
      <c r="N33" s="343"/>
      <c r="O33" s="343"/>
      <c r="P33" s="343"/>
      <c r="Q33" s="343"/>
      <c r="R33" s="343"/>
      <c r="S33" s="343"/>
      <c r="T33" s="343"/>
      <c r="U33" s="343"/>
      <c r="V33" s="343"/>
      <c r="W33" s="343"/>
    </row>
    <row r="34" spans="1:23" x14ac:dyDescent="0.2">
      <c r="A34" s="352" t="str">
        <f>IF(F34&lt;&gt;"",1+MAX($A$6:A33),"")</f>
        <v/>
      </c>
      <c r="B34" s="141"/>
      <c r="C34" s="364"/>
      <c r="D34" s="370"/>
      <c r="E34" s="371"/>
      <c r="F34" s="430"/>
      <c r="G34" s="431"/>
      <c r="H34" s="430"/>
      <c r="I34" s="432"/>
      <c r="J34" s="134"/>
      <c r="K34" s="433"/>
      <c r="L34" s="434"/>
      <c r="M34" s="343"/>
      <c r="N34" s="343"/>
      <c r="O34" s="343"/>
      <c r="P34" s="343"/>
      <c r="Q34" s="343"/>
      <c r="R34" s="343"/>
      <c r="S34" s="343"/>
      <c r="T34" s="343"/>
      <c r="U34" s="343"/>
      <c r="V34" s="343"/>
      <c r="W34" s="343"/>
    </row>
    <row r="35" spans="1:23" x14ac:dyDescent="0.2">
      <c r="A35" s="352">
        <f>IF(F35&lt;&gt;"",1+MAX($A$6:A34),"")</f>
        <v>22</v>
      </c>
      <c r="B35" s="367" t="s">
        <v>515</v>
      </c>
      <c r="C35" s="364"/>
      <c r="D35" s="368"/>
      <c r="E35" s="369" t="s">
        <v>537</v>
      </c>
      <c r="F35" s="128">
        <v>347.69</v>
      </c>
      <c r="G35" s="436">
        <v>0.1</v>
      </c>
      <c r="H35" s="140">
        <f t="shared" ref="H35:H36" si="15">F35*(1+G35)</f>
        <v>382.459</v>
      </c>
      <c r="I35" s="141" t="s">
        <v>15</v>
      </c>
      <c r="J35" s="438">
        <f t="shared" ref="J35" si="16">J$14</f>
        <v>0</v>
      </c>
      <c r="K35" s="437">
        <f t="shared" ref="K35:K36" si="17">J35*H35</f>
        <v>0</v>
      </c>
      <c r="L35" s="429"/>
      <c r="M35" s="343"/>
      <c r="N35" s="343"/>
      <c r="O35" s="343"/>
      <c r="P35" s="343"/>
      <c r="Q35" s="343"/>
      <c r="R35" s="343"/>
      <c r="S35" s="343"/>
      <c r="T35" s="343"/>
      <c r="U35" s="343"/>
      <c r="V35" s="343"/>
      <c r="W35" s="343"/>
    </row>
    <row r="36" spans="1:23" x14ac:dyDescent="0.2">
      <c r="A36" s="352">
        <f>IF(F36&lt;&gt;"",1+MAX($A$6:A35),"")</f>
        <v>23</v>
      </c>
      <c r="B36" s="367" t="s">
        <v>515</v>
      </c>
      <c r="C36" s="364"/>
      <c r="D36" s="368"/>
      <c r="E36" s="369" t="s">
        <v>538</v>
      </c>
      <c r="F36" s="128">
        <v>187.17</v>
      </c>
      <c r="G36" s="436">
        <v>0.1</v>
      </c>
      <c r="H36" s="140">
        <f t="shared" si="15"/>
        <v>205.887</v>
      </c>
      <c r="I36" s="141" t="s">
        <v>15</v>
      </c>
      <c r="J36" s="438">
        <f t="shared" ref="J36" si="18">J$16</f>
        <v>0</v>
      </c>
      <c r="K36" s="437">
        <f t="shared" si="17"/>
        <v>0</v>
      </c>
      <c r="L36" s="429"/>
      <c r="M36" s="343"/>
      <c r="N36" s="343"/>
      <c r="O36" s="343"/>
      <c r="P36" s="343"/>
      <c r="Q36" s="343"/>
      <c r="R36" s="343"/>
      <c r="S36" s="343"/>
      <c r="T36" s="343"/>
      <c r="U36" s="343"/>
      <c r="V36" s="343"/>
      <c r="W36" s="343"/>
    </row>
    <row r="37" spans="1:23" ht="16.5" thickBot="1" x14ac:dyDescent="0.25">
      <c r="A37" s="352" t="str">
        <f>IF(F37&lt;&gt;"",1+MAX($A$6:A36),"")</f>
        <v/>
      </c>
      <c r="B37" s="141"/>
      <c r="C37" s="364"/>
      <c r="D37" s="370"/>
      <c r="E37" s="371"/>
      <c r="F37" s="430"/>
      <c r="G37" s="431"/>
      <c r="H37" s="430"/>
      <c r="I37" s="432"/>
      <c r="J37" s="134"/>
      <c r="K37" s="433"/>
      <c r="L37" s="434"/>
      <c r="M37" s="343"/>
      <c r="N37" s="343"/>
      <c r="O37" s="343"/>
      <c r="P37" s="343"/>
      <c r="Q37" s="343"/>
      <c r="R37" s="343"/>
      <c r="S37" s="343"/>
      <c r="T37" s="343"/>
      <c r="U37" s="343"/>
      <c r="V37" s="343"/>
      <c r="W37" s="343"/>
    </row>
    <row r="38" spans="1:23" ht="16.5" customHeight="1" thickBot="1" x14ac:dyDescent="0.25">
      <c r="A38" s="352" t="str">
        <f>IF(F38&lt;&gt;"",1+MAX($A$6:A37),"")</f>
        <v/>
      </c>
      <c r="B38" s="123"/>
      <c r="C38" s="364"/>
      <c r="D38" s="365"/>
      <c r="E38" s="366" t="s">
        <v>539</v>
      </c>
      <c r="F38" s="435"/>
      <c r="G38" s="431"/>
      <c r="H38" s="430"/>
      <c r="I38" s="432"/>
      <c r="J38" s="134"/>
      <c r="K38" s="428"/>
      <c r="L38" s="429"/>
      <c r="M38" s="345"/>
      <c r="N38" s="345"/>
      <c r="O38" s="345"/>
      <c r="P38" s="345"/>
      <c r="Q38" s="345"/>
      <c r="R38" s="343"/>
      <c r="S38" s="343"/>
      <c r="T38" s="343"/>
      <c r="U38" s="343"/>
      <c r="V38" s="343"/>
      <c r="W38" s="343"/>
    </row>
    <row r="39" spans="1:23" ht="31.5" x14ac:dyDescent="0.2">
      <c r="A39" s="352">
        <f>IF(F39&lt;&gt;"",1+MAX($A$6:A38),"")</f>
        <v>24</v>
      </c>
      <c r="B39" s="367" t="s">
        <v>540</v>
      </c>
      <c r="C39" s="364"/>
      <c r="D39" s="368"/>
      <c r="E39" s="369" t="s">
        <v>541</v>
      </c>
      <c r="F39" s="128">
        <f>145.5+6.5</f>
        <v>152</v>
      </c>
      <c r="G39" s="436">
        <v>0.1</v>
      </c>
      <c r="H39" s="140">
        <f t="shared" ref="H39:H47" si="19">F39*(1+G39)</f>
        <v>167.20000000000002</v>
      </c>
      <c r="I39" s="141" t="s">
        <v>15</v>
      </c>
      <c r="J39" s="438">
        <f t="shared" ref="J39" si="20">J$11</f>
        <v>0</v>
      </c>
      <c r="K39" s="437">
        <f t="shared" ref="K39:K47" si="21">J39*H39</f>
        <v>0</v>
      </c>
      <c r="L39" s="429"/>
      <c r="M39" s="343"/>
      <c r="N39" s="343"/>
      <c r="O39" s="343"/>
      <c r="P39" s="343"/>
      <c r="Q39" s="343"/>
      <c r="R39" s="343"/>
      <c r="S39" s="343"/>
      <c r="T39" s="343"/>
      <c r="U39" s="343"/>
      <c r="V39" s="343"/>
      <c r="W39" s="343"/>
    </row>
    <row r="40" spans="1:23" ht="31.5" x14ac:dyDescent="0.2">
      <c r="A40" s="352">
        <f>IF(F40&lt;&gt;"",1+MAX($A$6:A39),"")</f>
        <v>25</v>
      </c>
      <c r="B40" s="367" t="s">
        <v>540</v>
      </c>
      <c r="C40" s="364"/>
      <c r="D40" s="368"/>
      <c r="E40" s="369" t="s">
        <v>542</v>
      </c>
      <c r="F40" s="128">
        <f>139.5+2191</f>
        <v>2330.5</v>
      </c>
      <c r="G40" s="436">
        <v>0.1</v>
      </c>
      <c r="H40" s="140">
        <f t="shared" si="19"/>
        <v>2563.5500000000002</v>
      </c>
      <c r="I40" s="141" t="s">
        <v>15</v>
      </c>
      <c r="J40" s="438">
        <f t="shared" ref="J40" si="22">J$13</f>
        <v>0</v>
      </c>
      <c r="K40" s="437">
        <f t="shared" si="21"/>
        <v>0</v>
      </c>
      <c r="L40" s="429"/>
      <c r="M40" s="343"/>
      <c r="N40" s="343"/>
      <c r="O40" s="343"/>
      <c r="P40" s="343"/>
      <c r="Q40" s="343"/>
      <c r="R40" s="343"/>
      <c r="S40" s="343"/>
      <c r="T40" s="343"/>
      <c r="U40" s="343"/>
      <c r="V40" s="343"/>
      <c r="W40" s="343"/>
    </row>
    <row r="41" spans="1:23" ht="31.5" x14ac:dyDescent="0.2">
      <c r="A41" s="352">
        <f>IF(F41&lt;&gt;"",1+MAX($A$6:A40),"")</f>
        <v>26</v>
      </c>
      <c r="B41" s="367" t="s">
        <v>540</v>
      </c>
      <c r="C41" s="364"/>
      <c r="D41" s="368"/>
      <c r="E41" s="369" t="s">
        <v>543</v>
      </c>
      <c r="F41" s="128">
        <v>279</v>
      </c>
      <c r="G41" s="436">
        <v>0.1</v>
      </c>
      <c r="H41" s="140">
        <f t="shared" si="19"/>
        <v>306.90000000000003</v>
      </c>
      <c r="I41" s="141" t="s">
        <v>15</v>
      </c>
      <c r="J41" s="438">
        <f t="shared" ref="J41" si="23">J$14</f>
        <v>0</v>
      </c>
      <c r="K41" s="437">
        <f t="shared" si="21"/>
        <v>0</v>
      </c>
      <c r="L41" s="429"/>
      <c r="M41" s="343"/>
      <c r="N41" s="343"/>
      <c r="O41" s="343"/>
      <c r="P41" s="343"/>
      <c r="Q41" s="343"/>
      <c r="R41" s="343"/>
      <c r="S41" s="343"/>
      <c r="T41" s="343"/>
      <c r="U41" s="343"/>
      <c r="V41" s="343"/>
      <c r="W41" s="343"/>
    </row>
    <row r="42" spans="1:23" ht="31.5" x14ac:dyDescent="0.2">
      <c r="A42" s="352">
        <f>IF(F42&lt;&gt;"",1+MAX($A$6:A41),"")</f>
        <v>27</v>
      </c>
      <c r="B42" s="367" t="s">
        <v>540</v>
      </c>
      <c r="C42" s="364"/>
      <c r="D42" s="368"/>
      <c r="E42" s="369" t="s">
        <v>544</v>
      </c>
      <c r="F42" s="128">
        <v>197.5</v>
      </c>
      <c r="G42" s="436">
        <v>0.1</v>
      </c>
      <c r="H42" s="140">
        <f t="shared" si="19"/>
        <v>217.25000000000003</v>
      </c>
      <c r="I42" s="141" t="s">
        <v>15</v>
      </c>
      <c r="J42" s="438">
        <f t="shared" ref="J42" si="24">J$15</f>
        <v>0</v>
      </c>
      <c r="K42" s="437">
        <f t="shared" si="21"/>
        <v>0</v>
      </c>
      <c r="L42" s="429"/>
      <c r="M42" s="343"/>
      <c r="N42" s="343"/>
      <c r="O42" s="343"/>
      <c r="P42" s="343"/>
      <c r="Q42" s="343"/>
      <c r="R42" s="343"/>
      <c r="S42" s="343"/>
      <c r="T42" s="343"/>
      <c r="U42" s="343"/>
      <c r="V42" s="343"/>
      <c r="W42" s="343"/>
    </row>
    <row r="43" spans="1:23" ht="31.5" x14ac:dyDescent="0.2">
      <c r="A43" s="352">
        <f>IF(F43&lt;&gt;"",1+MAX($A$6:A42),"")</f>
        <v>28</v>
      </c>
      <c r="B43" s="367" t="s">
        <v>540</v>
      </c>
      <c r="C43" s="364"/>
      <c r="D43" s="368"/>
      <c r="E43" s="369" t="s">
        <v>545</v>
      </c>
      <c r="F43" s="128">
        <v>83</v>
      </c>
      <c r="G43" s="436">
        <v>0.1</v>
      </c>
      <c r="H43" s="140">
        <f t="shared" si="19"/>
        <v>91.300000000000011</v>
      </c>
      <c r="I43" s="141" t="s">
        <v>15</v>
      </c>
      <c r="J43" s="438">
        <f t="shared" ref="J43" si="25">J$16</f>
        <v>0</v>
      </c>
      <c r="K43" s="437">
        <f t="shared" si="21"/>
        <v>0</v>
      </c>
      <c r="L43" s="429"/>
      <c r="M43" s="343"/>
      <c r="N43" s="343"/>
      <c r="O43" s="343"/>
      <c r="P43" s="343"/>
      <c r="Q43" s="343"/>
      <c r="R43" s="343"/>
      <c r="S43" s="343"/>
      <c r="T43" s="343"/>
      <c r="U43" s="343"/>
      <c r="V43" s="343"/>
      <c r="W43" s="343"/>
    </row>
    <row r="44" spans="1:23" ht="31.5" x14ac:dyDescent="0.2">
      <c r="A44" s="352">
        <f>IF(F44&lt;&gt;"",1+MAX($A$6:A43),"")</f>
        <v>29</v>
      </c>
      <c r="B44" s="367" t="s">
        <v>540</v>
      </c>
      <c r="C44" s="364"/>
      <c r="D44" s="368"/>
      <c r="E44" s="369" t="s">
        <v>546</v>
      </c>
      <c r="F44" s="128">
        <v>3</v>
      </c>
      <c r="G44" s="436">
        <v>0.1</v>
      </c>
      <c r="H44" s="140">
        <f t="shared" si="19"/>
        <v>3.3000000000000003</v>
      </c>
      <c r="I44" s="141" t="s">
        <v>15</v>
      </c>
      <c r="J44" s="438">
        <f t="shared" ref="J44" si="26">J$17</f>
        <v>0</v>
      </c>
      <c r="K44" s="437">
        <f t="shared" si="21"/>
        <v>0</v>
      </c>
      <c r="L44" s="429"/>
      <c r="M44" s="343"/>
      <c r="N44" s="343"/>
      <c r="O44" s="343"/>
      <c r="P44" s="343"/>
      <c r="Q44" s="343"/>
      <c r="R44" s="343"/>
      <c r="S44" s="343"/>
      <c r="T44" s="343"/>
      <c r="U44" s="343"/>
      <c r="V44" s="343"/>
      <c r="W44" s="343"/>
    </row>
    <row r="45" spans="1:23" ht="31.5" x14ac:dyDescent="0.2">
      <c r="A45" s="352">
        <f>IF(F45&lt;&gt;"",1+MAX($A$6:A44),"")</f>
        <v>30</v>
      </c>
      <c r="B45" s="367" t="s">
        <v>540</v>
      </c>
      <c r="C45" s="364"/>
      <c r="D45" s="368"/>
      <c r="E45" s="369" t="s">
        <v>547</v>
      </c>
      <c r="F45" s="128">
        <v>37</v>
      </c>
      <c r="G45" s="436">
        <v>0.1</v>
      </c>
      <c r="H45" s="140">
        <f t="shared" si="19"/>
        <v>40.700000000000003</v>
      </c>
      <c r="I45" s="141" t="s">
        <v>15</v>
      </c>
      <c r="J45" s="438">
        <f t="shared" ref="J45" si="27">J$19</f>
        <v>0</v>
      </c>
      <c r="K45" s="437">
        <f t="shared" si="21"/>
        <v>0</v>
      </c>
      <c r="L45" s="429"/>
      <c r="M45" s="343"/>
      <c r="N45" s="343"/>
      <c r="O45" s="343"/>
      <c r="P45" s="343"/>
      <c r="Q45" s="343"/>
      <c r="R45" s="343"/>
      <c r="S45" s="343"/>
      <c r="T45" s="343"/>
      <c r="U45" s="343"/>
      <c r="V45" s="343"/>
      <c r="W45" s="343"/>
    </row>
    <row r="46" spans="1:23" ht="31.5" x14ac:dyDescent="0.2">
      <c r="A46" s="352">
        <f>IF(F46&lt;&gt;"",1+MAX($A$6:A45),"")</f>
        <v>31</v>
      </c>
      <c r="B46" s="367" t="s">
        <v>540</v>
      </c>
      <c r="C46" s="364"/>
      <c r="D46" s="368"/>
      <c r="E46" s="369" t="s">
        <v>548</v>
      </c>
      <c r="F46" s="128">
        <v>29</v>
      </c>
      <c r="G46" s="436">
        <v>0.1</v>
      </c>
      <c r="H46" s="140">
        <f t="shared" si="19"/>
        <v>31.900000000000002</v>
      </c>
      <c r="I46" s="141" t="s">
        <v>15</v>
      </c>
      <c r="J46" s="438">
        <f>J$20</f>
        <v>0</v>
      </c>
      <c r="K46" s="437">
        <f t="shared" si="21"/>
        <v>0</v>
      </c>
      <c r="L46" s="429"/>
      <c r="M46" s="343"/>
      <c r="N46" s="343"/>
      <c r="O46" s="343"/>
      <c r="P46" s="343"/>
      <c r="Q46" s="343"/>
      <c r="R46" s="343"/>
      <c r="S46" s="343"/>
      <c r="T46" s="343"/>
      <c r="U46" s="343"/>
      <c r="V46" s="343"/>
      <c r="W46" s="343"/>
    </row>
    <row r="47" spans="1:23" ht="31.5" x14ac:dyDescent="0.2">
      <c r="A47" s="352">
        <f>IF(F47&lt;&gt;"",1+MAX($A$6:A46),"")</f>
        <v>32</v>
      </c>
      <c r="B47" s="367" t="s">
        <v>540</v>
      </c>
      <c r="C47" s="364"/>
      <c r="D47" s="368"/>
      <c r="E47" s="369" t="s">
        <v>549</v>
      </c>
      <c r="F47" s="128">
        <v>103</v>
      </c>
      <c r="G47" s="436">
        <v>0.1</v>
      </c>
      <c r="H47" s="140">
        <f t="shared" si="19"/>
        <v>113.30000000000001</v>
      </c>
      <c r="I47" s="141" t="s">
        <v>15</v>
      </c>
      <c r="J47" s="438">
        <f t="shared" ref="J47" si="28">J$21</f>
        <v>0</v>
      </c>
      <c r="K47" s="437">
        <f t="shared" si="21"/>
        <v>0</v>
      </c>
      <c r="L47" s="429"/>
      <c r="M47" s="343"/>
      <c r="N47" s="343"/>
      <c r="O47" s="343"/>
      <c r="P47" s="343"/>
      <c r="Q47" s="343"/>
      <c r="R47" s="343"/>
      <c r="S47" s="343"/>
      <c r="T47" s="343"/>
      <c r="U47" s="343"/>
      <c r="V47" s="343"/>
      <c r="W47" s="343"/>
    </row>
    <row r="48" spans="1:23" x14ac:dyDescent="0.2">
      <c r="A48" s="352" t="str">
        <f>IF(F48&lt;&gt;"",1+MAX($A$6:A47),"")</f>
        <v/>
      </c>
      <c r="B48" s="141"/>
      <c r="C48" s="364"/>
      <c r="D48" s="370"/>
      <c r="E48" s="371"/>
      <c r="F48" s="430"/>
      <c r="G48" s="431"/>
      <c r="H48" s="430"/>
      <c r="I48" s="432"/>
      <c r="J48" s="134"/>
      <c r="K48" s="433"/>
      <c r="L48" s="434"/>
      <c r="M48" s="343"/>
      <c r="N48" s="343"/>
      <c r="O48" s="343"/>
      <c r="P48" s="343"/>
      <c r="Q48" s="343"/>
      <c r="R48" s="343"/>
      <c r="S48" s="343"/>
      <c r="T48" s="343"/>
      <c r="U48" s="343"/>
      <c r="V48" s="343"/>
      <c r="W48" s="343"/>
    </row>
    <row r="49" spans="1:23" ht="31.5" x14ac:dyDescent="0.2">
      <c r="A49" s="352">
        <f>IF(F49&lt;&gt;"",1+MAX($A$6:A48),"")</f>
        <v>33</v>
      </c>
      <c r="B49" s="367" t="s">
        <v>540</v>
      </c>
      <c r="C49" s="364"/>
      <c r="D49" s="368"/>
      <c r="E49" s="369" t="s">
        <v>550</v>
      </c>
      <c r="F49" s="128">
        <f>83.5+1496</f>
        <v>1579.5</v>
      </c>
      <c r="G49" s="436">
        <v>0.1</v>
      </c>
      <c r="H49" s="140">
        <f t="shared" ref="H49:H54" si="29">F49*(1+G49)</f>
        <v>1737.45</v>
      </c>
      <c r="I49" s="141" t="s">
        <v>15</v>
      </c>
      <c r="J49" s="438">
        <f t="shared" ref="J49" si="30">J$13</f>
        <v>0</v>
      </c>
      <c r="K49" s="437">
        <f t="shared" ref="K49:K54" si="31">J49*H49</f>
        <v>0</v>
      </c>
      <c r="L49" s="429"/>
      <c r="M49" s="343"/>
      <c r="N49" s="343"/>
      <c r="O49" s="343"/>
      <c r="P49" s="343"/>
      <c r="Q49" s="343"/>
      <c r="R49" s="343"/>
      <c r="S49" s="343"/>
      <c r="T49" s="343"/>
      <c r="U49" s="343"/>
      <c r="V49" s="343"/>
      <c r="W49" s="343"/>
    </row>
    <row r="50" spans="1:23" ht="31.5" x14ac:dyDescent="0.2">
      <c r="A50" s="352">
        <f>IF(F50&lt;&gt;"",1+MAX($A$6:A49),"")</f>
        <v>34</v>
      </c>
      <c r="B50" s="367" t="s">
        <v>540</v>
      </c>
      <c r="C50" s="364"/>
      <c r="D50" s="368"/>
      <c r="E50" s="369" t="s">
        <v>551</v>
      </c>
      <c r="F50" s="128">
        <v>332.5</v>
      </c>
      <c r="G50" s="436">
        <v>0.1</v>
      </c>
      <c r="H50" s="140">
        <f t="shared" si="29"/>
        <v>365.75000000000006</v>
      </c>
      <c r="I50" s="141" t="s">
        <v>15</v>
      </c>
      <c r="J50" s="438">
        <f t="shared" ref="J50" si="32">J$14</f>
        <v>0</v>
      </c>
      <c r="K50" s="437">
        <f t="shared" si="31"/>
        <v>0</v>
      </c>
      <c r="L50" s="429"/>
      <c r="M50" s="343"/>
      <c r="N50" s="343"/>
      <c r="O50" s="343"/>
      <c r="P50" s="343"/>
      <c r="Q50" s="343"/>
      <c r="R50" s="343"/>
      <c r="S50" s="343"/>
      <c r="T50" s="343"/>
      <c r="U50" s="343"/>
      <c r="V50" s="343"/>
      <c r="W50" s="343"/>
    </row>
    <row r="51" spans="1:23" ht="31.5" x14ac:dyDescent="0.2">
      <c r="A51" s="352">
        <f>IF(F51&lt;&gt;"",1+MAX($A$6:A50),"")</f>
        <v>35</v>
      </c>
      <c r="B51" s="367" t="s">
        <v>540</v>
      </c>
      <c r="C51" s="364"/>
      <c r="D51" s="368"/>
      <c r="E51" s="369" t="s">
        <v>552</v>
      </c>
      <c r="F51" s="128">
        <v>181</v>
      </c>
      <c r="G51" s="436">
        <v>0.1</v>
      </c>
      <c r="H51" s="140">
        <f t="shared" si="29"/>
        <v>199.10000000000002</v>
      </c>
      <c r="I51" s="141" t="s">
        <v>15</v>
      </c>
      <c r="J51" s="438">
        <f t="shared" ref="J51" si="33">J$15</f>
        <v>0</v>
      </c>
      <c r="K51" s="437">
        <f t="shared" si="31"/>
        <v>0</v>
      </c>
      <c r="L51" s="429"/>
      <c r="M51" s="343"/>
      <c r="N51" s="343"/>
      <c r="O51" s="343"/>
      <c r="P51" s="343"/>
      <c r="Q51" s="343"/>
      <c r="R51" s="343"/>
      <c r="S51" s="343"/>
      <c r="T51" s="343"/>
      <c r="U51" s="343"/>
      <c r="V51" s="343"/>
      <c r="W51" s="343"/>
    </row>
    <row r="52" spans="1:23" ht="31.5" x14ac:dyDescent="0.2">
      <c r="A52" s="352">
        <f>IF(F52&lt;&gt;"",1+MAX($A$6:A51),"")</f>
        <v>36</v>
      </c>
      <c r="B52" s="367" t="s">
        <v>540</v>
      </c>
      <c r="C52" s="364"/>
      <c r="D52" s="368"/>
      <c r="E52" s="369" t="s">
        <v>553</v>
      </c>
      <c r="F52" s="128">
        <v>62.5</v>
      </c>
      <c r="G52" s="436">
        <v>0.1</v>
      </c>
      <c r="H52" s="140">
        <f t="shared" si="29"/>
        <v>68.75</v>
      </c>
      <c r="I52" s="141" t="s">
        <v>15</v>
      </c>
      <c r="J52" s="438">
        <f t="shared" ref="J52" si="34">J$16</f>
        <v>0</v>
      </c>
      <c r="K52" s="437">
        <f t="shared" si="31"/>
        <v>0</v>
      </c>
      <c r="L52" s="429"/>
      <c r="M52" s="343"/>
      <c r="N52" s="343"/>
      <c r="O52" s="343"/>
      <c r="P52" s="343"/>
      <c r="Q52" s="343"/>
      <c r="R52" s="343"/>
      <c r="S52" s="343"/>
      <c r="T52" s="343"/>
      <c r="U52" s="343"/>
      <c r="V52" s="343"/>
      <c r="W52" s="343"/>
    </row>
    <row r="53" spans="1:23" ht="31.5" x14ac:dyDescent="0.2">
      <c r="A53" s="352">
        <f>IF(F53&lt;&gt;"",1+MAX($A$6:A52),"")</f>
        <v>37</v>
      </c>
      <c r="B53" s="367" t="s">
        <v>540</v>
      </c>
      <c r="C53" s="364"/>
      <c r="D53" s="368"/>
      <c r="E53" s="369" t="s">
        <v>554</v>
      </c>
      <c r="F53" s="128">
        <v>3</v>
      </c>
      <c r="G53" s="436">
        <v>0.1</v>
      </c>
      <c r="H53" s="140">
        <f t="shared" si="29"/>
        <v>3.3000000000000003</v>
      </c>
      <c r="I53" s="141" t="s">
        <v>15</v>
      </c>
      <c r="J53" s="438">
        <f t="shared" ref="J53" si="35">J$17</f>
        <v>0</v>
      </c>
      <c r="K53" s="437">
        <f t="shared" si="31"/>
        <v>0</v>
      </c>
      <c r="L53" s="429"/>
      <c r="M53" s="343"/>
      <c r="N53" s="343"/>
      <c r="O53" s="343"/>
      <c r="P53" s="343"/>
      <c r="Q53" s="343"/>
      <c r="R53" s="343"/>
      <c r="S53" s="343"/>
      <c r="T53" s="343"/>
      <c r="U53" s="343"/>
      <c r="V53" s="343"/>
      <c r="W53" s="343"/>
    </row>
    <row r="54" spans="1:23" ht="31.5" x14ac:dyDescent="0.2">
      <c r="A54" s="352">
        <f>IF(F54&lt;&gt;"",1+MAX($A$6:A53),"")</f>
        <v>38</v>
      </c>
      <c r="B54" s="367" t="s">
        <v>540</v>
      </c>
      <c r="C54" s="364"/>
      <c r="D54" s="368"/>
      <c r="E54" s="369" t="s">
        <v>555</v>
      </c>
      <c r="F54" s="128">
        <v>37</v>
      </c>
      <c r="G54" s="436">
        <v>0.1</v>
      </c>
      <c r="H54" s="140">
        <f t="shared" si="29"/>
        <v>40.700000000000003</v>
      </c>
      <c r="I54" s="141" t="s">
        <v>15</v>
      </c>
      <c r="J54" s="438">
        <f t="shared" ref="J54" si="36">J$30</f>
        <v>0</v>
      </c>
      <c r="K54" s="437">
        <f t="shared" si="31"/>
        <v>0</v>
      </c>
      <c r="L54" s="429"/>
      <c r="M54" s="343"/>
      <c r="N54" s="343"/>
      <c r="O54" s="343"/>
      <c r="P54" s="343"/>
      <c r="Q54" s="343"/>
      <c r="R54" s="343"/>
      <c r="S54" s="343"/>
      <c r="T54" s="343"/>
      <c r="U54" s="343"/>
      <c r="V54" s="343"/>
      <c r="W54" s="343"/>
    </row>
    <row r="55" spans="1:23" x14ac:dyDescent="0.2">
      <c r="A55" s="352" t="str">
        <f>IF(F55&lt;&gt;"",1+MAX($A$6:A54),"")</f>
        <v/>
      </c>
      <c r="B55" s="141"/>
      <c r="C55" s="364"/>
      <c r="D55" s="370"/>
      <c r="E55" s="371"/>
      <c r="F55" s="430"/>
      <c r="G55" s="431"/>
      <c r="H55" s="430"/>
      <c r="I55" s="432"/>
      <c r="J55" s="134"/>
      <c r="K55" s="433"/>
      <c r="L55" s="434"/>
      <c r="M55" s="343"/>
      <c r="N55" s="343"/>
      <c r="O55" s="343"/>
      <c r="P55" s="343"/>
      <c r="Q55" s="343"/>
      <c r="R55" s="343"/>
      <c r="S55" s="343"/>
      <c r="T55" s="343"/>
      <c r="U55" s="343"/>
      <c r="V55" s="343"/>
      <c r="W55" s="343"/>
    </row>
    <row r="56" spans="1:23" ht="31.5" x14ac:dyDescent="0.2">
      <c r="A56" s="352">
        <f>IF(F56&lt;&gt;"",1+MAX($A$6:A55),"")</f>
        <v>39</v>
      </c>
      <c r="B56" s="367" t="s">
        <v>540</v>
      </c>
      <c r="C56" s="364"/>
      <c r="D56" s="368"/>
      <c r="E56" s="369" t="s">
        <v>556</v>
      </c>
      <c r="F56" s="128">
        <v>32.5</v>
      </c>
      <c r="G56" s="436">
        <v>0.1</v>
      </c>
      <c r="H56" s="140">
        <f>F56*(1+G56)</f>
        <v>35.75</v>
      </c>
      <c r="I56" s="141" t="s">
        <v>15</v>
      </c>
      <c r="J56" s="438">
        <f t="shared" ref="J56" si="37">J$13</f>
        <v>0</v>
      </c>
      <c r="K56" s="437">
        <f t="shared" ref="K56:K57" si="38">J56*H56</f>
        <v>0</v>
      </c>
      <c r="L56" s="429"/>
      <c r="M56" s="343"/>
      <c r="N56" s="343"/>
      <c r="O56" s="343"/>
      <c r="P56" s="343"/>
      <c r="Q56" s="343"/>
      <c r="R56" s="343"/>
      <c r="S56" s="343"/>
      <c r="T56" s="343"/>
      <c r="U56" s="343"/>
      <c r="V56" s="343"/>
      <c r="W56" s="343"/>
    </row>
    <row r="57" spans="1:23" ht="31.5" x14ac:dyDescent="0.2">
      <c r="A57" s="352">
        <f>IF(F57&lt;&gt;"",1+MAX($A$6:A56),"")</f>
        <v>40</v>
      </c>
      <c r="B57" s="367" t="s">
        <v>540</v>
      </c>
      <c r="C57" s="364"/>
      <c r="D57" s="368"/>
      <c r="E57" s="369" t="s">
        <v>557</v>
      </c>
      <c r="F57" s="128">
        <v>28</v>
      </c>
      <c r="G57" s="436">
        <v>0.1</v>
      </c>
      <c r="H57" s="140">
        <f>F57*(1+G57)</f>
        <v>30.800000000000004</v>
      </c>
      <c r="I57" s="141" t="s">
        <v>15</v>
      </c>
      <c r="J57" s="438">
        <f t="shared" ref="J57" si="39">J$14</f>
        <v>0</v>
      </c>
      <c r="K57" s="437">
        <f t="shared" si="38"/>
        <v>0</v>
      </c>
      <c r="L57" s="429"/>
      <c r="M57" s="343"/>
      <c r="N57" s="343"/>
      <c r="O57" s="343"/>
      <c r="P57" s="343"/>
      <c r="Q57" s="343"/>
      <c r="R57" s="343"/>
      <c r="S57" s="343"/>
      <c r="T57" s="343"/>
      <c r="U57" s="343"/>
      <c r="V57" s="343"/>
      <c r="W57" s="343"/>
    </row>
    <row r="58" spans="1:23" x14ac:dyDescent="0.2">
      <c r="A58" s="352" t="str">
        <f>IF(F58&lt;&gt;"",1+MAX($A$6:A57),"")</f>
        <v/>
      </c>
      <c r="B58" s="141"/>
      <c r="C58" s="364"/>
      <c r="D58" s="364"/>
      <c r="E58" s="371"/>
      <c r="F58" s="430"/>
      <c r="G58" s="431"/>
      <c r="H58" s="430"/>
      <c r="I58" s="432"/>
      <c r="J58" s="134"/>
      <c r="K58" s="433"/>
      <c r="L58" s="434"/>
      <c r="M58" s="343"/>
      <c r="N58" s="343"/>
      <c r="O58" s="343"/>
      <c r="P58" s="343"/>
      <c r="Q58" s="343"/>
      <c r="R58" s="343"/>
      <c r="S58" s="343"/>
      <c r="T58" s="343"/>
      <c r="U58" s="343"/>
      <c r="V58" s="343"/>
      <c r="W58" s="343"/>
    </row>
    <row r="59" spans="1:23" ht="31.5" x14ac:dyDescent="0.2">
      <c r="A59" s="352">
        <f>IF(F59&lt;&gt;"",1+MAX($A$6:A58),"")</f>
        <v>41</v>
      </c>
      <c r="B59" s="367" t="s">
        <v>540</v>
      </c>
      <c r="C59" s="364"/>
      <c r="D59" s="368"/>
      <c r="E59" s="369" t="s">
        <v>558</v>
      </c>
      <c r="F59" s="128">
        <v>57</v>
      </c>
      <c r="G59" s="436">
        <v>0.1</v>
      </c>
      <c r="H59" s="140">
        <f>F59*(1+G59)</f>
        <v>62.7</v>
      </c>
      <c r="I59" s="141" t="s">
        <v>15</v>
      </c>
      <c r="J59" s="438">
        <f t="shared" ref="J59" si="40">J$14</f>
        <v>0</v>
      </c>
      <c r="K59" s="437">
        <f t="shared" ref="K59:K60" si="41">J59*H59</f>
        <v>0</v>
      </c>
      <c r="L59" s="429"/>
      <c r="M59" s="343"/>
      <c r="N59" s="343"/>
      <c r="O59" s="343"/>
      <c r="P59" s="343"/>
      <c r="Q59" s="343"/>
      <c r="R59" s="343"/>
      <c r="S59" s="343"/>
      <c r="T59" s="343"/>
      <c r="U59" s="343"/>
      <c r="V59" s="343"/>
      <c r="W59" s="343"/>
    </row>
    <row r="60" spans="1:23" ht="31.5" x14ac:dyDescent="0.2">
      <c r="A60" s="352">
        <f>IF(F60&lt;&gt;"",1+MAX($A$6:A59),"")</f>
        <v>42</v>
      </c>
      <c r="B60" s="367" t="s">
        <v>540</v>
      </c>
      <c r="C60" s="364"/>
      <c r="D60" s="368"/>
      <c r="E60" s="369" t="s">
        <v>559</v>
      </c>
      <c r="F60" s="128">
        <v>19</v>
      </c>
      <c r="G60" s="436">
        <v>0.1</v>
      </c>
      <c r="H60" s="140">
        <f>F60*(1+G60)</f>
        <v>20.900000000000002</v>
      </c>
      <c r="I60" s="141" t="s">
        <v>15</v>
      </c>
      <c r="J60" s="438">
        <f t="shared" ref="J60" si="42">J$16</f>
        <v>0</v>
      </c>
      <c r="K60" s="437">
        <f t="shared" si="41"/>
        <v>0</v>
      </c>
      <c r="L60" s="429"/>
      <c r="M60" s="343"/>
      <c r="N60" s="343"/>
      <c r="O60" s="343"/>
      <c r="P60" s="343"/>
      <c r="Q60" s="343"/>
      <c r="R60" s="343"/>
      <c r="S60" s="343"/>
      <c r="T60" s="343"/>
      <c r="U60" s="343"/>
      <c r="V60" s="343"/>
      <c r="W60" s="343"/>
    </row>
    <row r="61" spans="1:23" ht="16.5" thickBot="1" x14ac:dyDescent="0.25">
      <c r="A61" s="352" t="str">
        <f>IF(F61&lt;&gt;"",1+MAX($A$6:A60),"")</f>
        <v/>
      </c>
      <c r="B61" s="141"/>
      <c r="C61" s="364"/>
      <c r="D61" s="370"/>
      <c r="E61" s="371"/>
      <c r="F61" s="430"/>
      <c r="G61" s="431"/>
      <c r="H61" s="430"/>
      <c r="I61" s="432"/>
      <c r="J61" s="134"/>
      <c r="K61" s="433"/>
      <c r="L61" s="434"/>
      <c r="M61" s="343"/>
      <c r="N61" s="343"/>
      <c r="O61" s="343"/>
      <c r="P61" s="343"/>
      <c r="Q61" s="343"/>
      <c r="R61" s="343"/>
      <c r="S61" s="343"/>
      <c r="T61" s="343"/>
      <c r="U61" s="343"/>
      <c r="V61" s="343"/>
      <c r="W61" s="343"/>
    </row>
    <row r="62" spans="1:23" ht="16.5" customHeight="1" thickBot="1" x14ac:dyDescent="0.25">
      <c r="A62" s="352" t="str">
        <f>IF(F62&lt;&gt;"",1+MAX($A$6:A61),"")</f>
        <v/>
      </c>
      <c r="B62" s="123"/>
      <c r="C62" s="364"/>
      <c r="D62" s="365"/>
      <c r="E62" s="366" t="s">
        <v>560</v>
      </c>
      <c r="F62" s="435"/>
      <c r="G62" s="431"/>
      <c r="H62" s="430"/>
      <c r="I62" s="432"/>
      <c r="J62" s="134"/>
      <c r="K62" s="428"/>
      <c r="L62" s="429"/>
      <c r="M62" s="345"/>
      <c r="N62" s="345"/>
      <c r="O62" s="345"/>
      <c r="P62" s="345"/>
      <c r="Q62" s="345"/>
      <c r="R62" s="343"/>
      <c r="S62" s="343"/>
      <c r="T62" s="343"/>
      <c r="U62" s="343"/>
      <c r="V62" s="343"/>
      <c r="W62" s="343"/>
    </row>
    <row r="63" spans="1:23" ht="47.25" customHeight="1" x14ac:dyDescent="0.2">
      <c r="A63" s="352">
        <f>IF(F63&lt;&gt;"",1+MAX($A$6:A62),"")</f>
        <v>43</v>
      </c>
      <c r="B63" s="367"/>
      <c r="C63" s="361" t="s">
        <v>561</v>
      </c>
      <c r="D63" s="372"/>
      <c r="E63" s="369" t="s">
        <v>562</v>
      </c>
      <c r="F63" s="128">
        <v>9387</v>
      </c>
      <c r="G63" s="436">
        <v>0.1</v>
      </c>
      <c r="H63" s="140">
        <f>F63*(1+G63)</f>
        <v>10325.700000000001</v>
      </c>
      <c r="I63" s="141" t="s">
        <v>15</v>
      </c>
      <c r="J63" s="817">
        <v>0</v>
      </c>
      <c r="K63" s="437">
        <f t="shared" ref="K63:K66" si="43">J63*H63</f>
        <v>0</v>
      </c>
      <c r="L63" s="429"/>
      <c r="M63" s="343"/>
      <c r="N63" s="343"/>
      <c r="O63" s="343"/>
      <c r="P63" s="343"/>
      <c r="Q63" s="343"/>
      <c r="R63" s="343"/>
      <c r="S63" s="343"/>
      <c r="T63" s="343"/>
      <c r="U63" s="343"/>
      <c r="V63" s="343"/>
      <c r="W63" s="343"/>
    </row>
    <row r="64" spans="1:23" ht="47.25" x14ac:dyDescent="0.2">
      <c r="A64" s="352">
        <f>IF(F64&lt;&gt;"",1+MAX($A$6:A63),"")</f>
        <v>44</v>
      </c>
      <c r="B64" s="367"/>
      <c r="C64" s="361" t="s">
        <v>561</v>
      </c>
      <c r="D64" s="372"/>
      <c r="E64" s="369" t="s">
        <v>563</v>
      </c>
      <c r="F64" s="128">
        <v>4467</v>
      </c>
      <c r="G64" s="436">
        <v>0.1</v>
      </c>
      <c r="H64" s="140">
        <f>F64*(1+G64)</f>
        <v>4913.7000000000007</v>
      </c>
      <c r="I64" s="141" t="s">
        <v>15</v>
      </c>
      <c r="J64" s="438">
        <f t="shared" ref="J64" si="44">J$63</f>
        <v>0</v>
      </c>
      <c r="K64" s="437">
        <f t="shared" si="43"/>
        <v>0</v>
      </c>
      <c r="L64" s="429"/>
      <c r="M64" s="343"/>
      <c r="N64" s="343"/>
      <c r="O64" s="343"/>
      <c r="P64" s="343"/>
      <c r="Q64" s="343"/>
      <c r="R64" s="343"/>
      <c r="S64" s="343"/>
      <c r="T64" s="343"/>
      <c r="U64" s="343"/>
      <c r="V64" s="343"/>
      <c r="W64" s="343"/>
    </row>
    <row r="65" spans="1:23" ht="47.25" x14ac:dyDescent="0.2">
      <c r="A65" s="352">
        <f>IF(F65&lt;&gt;"",1+MAX($A$6:A64),"")</f>
        <v>45</v>
      </c>
      <c r="B65" s="367"/>
      <c r="C65" s="361" t="s">
        <v>561</v>
      </c>
      <c r="D65" s="372"/>
      <c r="E65" s="369" t="s">
        <v>564</v>
      </c>
      <c r="F65" s="128">
        <v>2306</v>
      </c>
      <c r="G65" s="436">
        <v>0.1</v>
      </c>
      <c r="H65" s="140">
        <f>F65*(1+G65)</f>
        <v>2536.6000000000004</v>
      </c>
      <c r="I65" s="141" t="s">
        <v>15</v>
      </c>
      <c r="J65" s="817">
        <v>0</v>
      </c>
      <c r="K65" s="437">
        <f t="shared" si="43"/>
        <v>0</v>
      </c>
      <c r="L65" s="429"/>
      <c r="M65" s="343"/>
      <c r="N65" s="343"/>
      <c r="O65" s="343"/>
      <c r="P65" s="343"/>
      <c r="Q65" s="343"/>
      <c r="R65" s="343"/>
      <c r="S65" s="343"/>
      <c r="T65" s="343"/>
      <c r="U65" s="343"/>
      <c r="V65" s="343"/>
      <c r="W65" s="343"/>
    </row>
    <row r="66" spans="1:23" ht="47.25" x14ac:dyDescent="0.2">
      <c r="A66" s="352">
        <f>IF(F66&lt;&gt;"",1+MAX($A$6:A65),"")</f>
        <v>46</v>
      </c>
      <c r="B66" s="367"/>
      <c r="C66" s="361" t="s">
        <v>561</v>
      </c>
      <c r="D66" s="372"/>
      <c r="E66" s="369" t="s">
        <v>565</v>
      </c>
      <c r="F66" s="128">
        <v>712</v>
      </c>
      <c r="G66" s="436">
        <v>0.1</v>
      </c>
      <c r="H66" s="140">
        <f>F66*(1+G66)</f>
        <v>783.2</v>
      </c>
      <c r="I66" s="141" t="s">
        <v>15</v>
      </c>
      <c r="J66" s="817">
        <v>0</v>
      </c>
      <c r="K66" s="437">
        <f t="shared" si="43"/>
        <v>0</v>
      </c>
      <c r="L66" s="429"/>
      <c r="M66" s="343"/>
      <c r="N66" s="343"/>
      <c r="O66" s="343"/>
      <c r="P66" s="343"/>
      <c r="Q66" s="343"/>
      <c r="R66" s="343"/>
      <c r="S66" s="343"/>
      <c r="T66" s="343"/>
      <c r="U66" s="343"/>
      <c r="V66" s="343"/>
      <c r="W66" s="343"/>
    </row>
    <row r="67" spans="1:23" ht="16.5" thickBot="1" x14ac:dyDescent="0.25">
      <c r="A67" s="352" t="str">
        <f>IF(F67&lt;&gt;"",1+MAX($A$6:A66),"")</f>
        <v/>
      </c>
      <c r="B67" s="141"/>
      <c r="C67" s="364"/>
      <c r="D67" s="370"/>
      <c r="E67" s="371"/>
      <c r="F67" s="430"/>
      <c r="G67" s="431"/>
      <c r="H67" s="430"/>
      <c r="I67" s="432"/>
      <c r="J67" s="134"/>
      <c r="K67" s="433"/>
      <c r="L67" s="434"/>
      <c r="M67" s="343"/>
      <c r="N67" s="343"/>
      <c r="O67" s="343"/>
      <c r="P67" s="343"/>
      <c r="Q67" s="343"/>
      <c r="R67" s="343"/>
      <c r="S67" s="343"/>
      <c r="T67" s="343"/>
      <c r="U67" s="343"/>
      <c r="V67" s="343"/>
      <c r="W67" s="343"/>
    </row>
    <row r="68" spans="1:23" ht="16.5" customHeight="1" thickBot="1" x14ac:dyDescent="0.25">
      <c r="A68" s="352" t="str">
        <f>IF(F68&lt;&gt;"",1+MAX($A$6:A67),"")</f>
        <v/>
      </c>
      <c r="B68" s="123"/>
      <c r="C68" s="364"/>
      <c r="D68" s="365"/>
      <c r="E68" s="366" t="s">
        <v>566</v>
      </c>
      <c r="F68" s="435"/>
      <c r="G68" s="431"/>
      <c r="H68" s="430"/>
      <c r="I68" s="432"/>
      <c r="J68" s="134"/>
      <c r="K68" s="428"/>
      <c r="L68" s="429"/>
      <c r="M68" s="345"/>
      <c r="N68" s="345"/>
      <c r="O68" s="345"/>
      <c r="P68" s="345"/>
      <c r="Q68" s="345"/>
      <c r="R68" s="343"/>
      <c r="S68" s="343"/>
      <c r="T68" s="343"/>
      <c r="U68" s="343"/>
      <c r="V68" s="343"/>
      <c r="W68" s="343"/>
    </row>
    <row r="69" spans="1:23" ht="63" x14ac:dyDescent="0.2">
      <c r="A69" s="352">
        <f>IF(F69&lt;&gt;"",1+MAX($A$6:A68),"")</f>
        <v>47</v>
      </c>
      <c r="B69" s="367" t="s">
        <v>567</v>
      </c>
      <c r="C69" s="361"/>
      <c r="D69" s="368"/>
      <c r="E69" s="373" t="s">
        <v>568</v>
      </c>
      <c r="F69" s="128">
        <v>2</v>
      </c>
      <c r="G69" s="436">
        <v>0</v>
      </c>
      <c r="H69" s="140">
        <f>F69*(1+G69)</f>
        <v>2</v>
      </c>
      <c r="I69" s="141" t="s">
        <v>20</v>
      </c>
      <c r="J69" s="817">
        <v>0</v>
      </c>
      <c r="K69" s="437">
        <f t="shared" ref="K69:K107" si="45">J69*H69</f>
        <v>0</v>
      </c>
      <c r="L69" s="429"/>
      <c r="M69" s="343"/>
      <c r="N69" s="343"/>
      <c r="O69" s="343"/>
      <c r="P69" s="343"/>
      <c r="Q69" s="343"/>
      <c r="R69" s="343"/>
      <c r="S69" s="343"/>
      <c r="T69" s="343"/>
      <c r="U69" s="343"/>
      <c r="V69" s="343"/>
      <c r="W69" s="343"/>
    </row>
    <row r="70" spans="1:23" ht="63" x14ac:dyDescent="0.2">
      <c r="A70" s="352">
        <f>IF(F70&lt;&gt;"",1+MAX($A$6:A69),"")</f>
        <v>48</v>
      </c>
      <c r="B70" s="367" t="s">
        <v>567</v>
      </c>
      <c r="C70" s="361"/>
      <c r="D70" s="368"/>
      <c r="E70" s="373" t="s">
        <v>569</v>
      </c>
      <c r="F70" s="128">
        <v>4</v>
      </c>
      <c r="G70" s="436">
        <v>0</v>
      </c>
      <c r="H70" s="140">
        <f t="shared" ref="H70:H76" si="46">F70*(1+G70)</f>
        <v>4</v>
      </c>
      <c r="I70" s="141" t="s">
        <v>20</v>
      </c>
      <c r="J70" s="817">
        <v>0</v>
      </c>
      <c r="K70" s="437">
        <f t="shared" si="45"/>
        <v>0</v>
      </c>
      <c r="L70" s="429"/>
      <c r="M70" s="343"/>
      <c r="N70" s="343"/>
      <c r="O70" s="343"/>
      <c r="P70" s="343"/>
      <c r="Q70" s="343"/>
      <c r="R70" s="343"/>
      <c r="S70" s="343"/>
      <c r="T70" s="343"/>
      <c r="U70" s="343"/>
      <c r="V70" s="343"/>
      <c r="W70" s="343"/>
    </row>
    <row r="71" spans="1:23" ht="63" x14ac:dyDescent="0.2">
      <c r="A71" s="352">
        <f>IF(F71&lt;&gt;"",1+MAX($A$6:A70),"")</f>
        <v>49</v>
      </c>
      <c r="B71" s="367" t="s">
        <v>567</v>
      </c>
      <c r="C71" s="361"/>
      <c r="D71" s="368"/>
      <c r="E71" s="373" t="s">
        <v>570</v>
      </c>
      <c r="F71" s="128">
        <v>106</v>
      </c>
      <c r="G71" s="436">
        <v>0</v>
      </c>
      <c r="H71" s="140">
        <f t="shared" si="46"/>
        <v>106</v>
      </c>
      <c r="I71" s="141" t="s">
        <v>20</v>
      </c>
      <c r="J71" s="817">
        <v>0</v>
      </c>
      <c r="K71" s="437">
        <f t="shared" si="45"/>
        <v>0</v>
      </c>
      <c r="L71" s="429"/>
      <c r="M71" s="343"/>
      <c r="N71" s="343"/>
      <c r="O71" s="343"/>
      <c r="P71" s="343"/>
      <c r="Q71" s="343"/>
      <c r="R71" s="343"/>
      <c r="S71" s="343"/>
      <c r="T71" s="343"/>
      <c r="U71" s="343"/>
      <c r="V71" s="343"/>
      <c r="W71" s="343"/>
    </row>
    <row r="72" spans="1:23" ht="63" x14ac:dyDescent="0.2">
      <c r="A72" s="352">
        <f>IF(F72&lt;&gt;"",1+MAX($A$6:A71),"")</f>
        <v>50</v>
      </c>
      <c r="B72" s="367" t="s">
        <v>567</v>
      </c>
      <c r="C72" s="361"/>
      <c r="D72" s="361"/>
      <c r="E72" s="374" t="s">
        <v>571</v>
      </c>
      <c r="F72" s="128">
        <v>14</v>
      </c>
      <c r="G72" s="436">
        <v>0</v>
      </c>
      <c r="H72" s="140">
        <f t="shared" si="46"/>
        <v>14</v>
      </c>
      <c r="I72" s="141" t="s">
        <v>20</v>
      </c>
      <c r="J72" s="817">
        <v>0</v>
      </c>
      <c r="K72" s="437">
        <f t="shared" si="45"/>
        <v>0</v>
      </c>
      <c r="L72" s="429"/>
      <c r="M72" s="343"/>
      <c r="N72" s="343"/>
      <c r="O72" s="343"/>
      <c r="P72" s="343"/>
      <c r="Q72" s="343"/>
      <c r="R72" s="343"/>
      <c r="S72" s="343"/>
      <c r="T72" s="343"/>
      <c r="U72" s="343"/>
      <c r="V72" s="343"/>
      <c r="W72" s="343"/>
    </row>
    <row r="73" spans="1:23" ht="63" x14ac:dyDescent="0.2">
      <c r="A73" s="352">
        <f>IF(F73&lt;&gt;"",1+MAX($A$6:A72),"")</f>
        <v>51</v>
      </c>
      <c r="B73" s="367" t="s">
        <v>567</v>
      </c>
      <c r="C73" s="361"/>
      <c r="D73" s="361"/>
      <c r="E73" s="374" t="s">
        <v>572</v>
      </c>
      <c r="F73" s="128">
        <v>17</v>
      </c>
      <c r="G73" s="436">
        <v>0</v>
      </c>
      <c r="H73" s="140">
        <f t="shared" si="46"/>
        <v>17</v>
      </c>
      <c r="I73" s="141" t="s">
        <v>20</v>
      </c>
      <c r="J73" s="817">
        <v>0</v>
      </c>
      <c r="K73" s="437">
        <f t="shared" si="45"/>
        <v>0</v>
      </c>
      <c r="L73" s="429"/>
      <c r="M73" s="343"/>
      <c r="N73" s="343"/>
      <c r="O73" s="343"/>
      <c r="P73" s="343"/>
      <c r="Q73" s="343"/>
      <c r="R73" s="343"/>
      <c r="S73" s="343"/>
      <c r="T73" s="343"/>
      <c r="U73" s="343"/>
      <c r="V73" s="343"/>
      <c r="W73" s="343"/>
    </row>
    <row r="74" spans="1:23" ht="63" x14ac:dyDescent="0.2">
      <c r="A74" s="352">
        <f>IF(F74&lt;&gt;"",1+MAX($A$6:A73),"")</f>
        <v>52</v>
      </c>
      <c r="B74" s="367" t="s">
        <v>567</v>
      </c>
      <c r="C74" s="361"/>
      <c r="D74" s="361"/>
      <c r="E74" s="374" t="s">
        <v>573</v>
      </c>
      <c r="F74" s="128">
        <v>12</v>
      </c>
      <c r="G74" s="436">
        <v>0</v>
      </c>
      <c r="H74" s="140">
        <f t="shared" si="46"/>
        <v>12</v>
      </c>
      <c r="I74" s="141" t="s">
        <v>20</v>
      </c>
      <c r="J74" s="817">
        <v>0</v>
      </c>
      <c r="K74" s="437">
        <f t="shared" si="45"/>
        <v>0</v>
      </c>
      <c r="L74" s="429"/>
      <c r="M74" s="343"/>
      <c r="N74" s="343"/>
      <c r="O74" s="343"/>
      <c r="P74" s="343"/>
      <c r="Q74" s="343"/>
      <c r="R74" s="343"/>
      <c r="S74" s="343"/>
      <c r="T74" s="343"/>
      <c r="U74" s="343"/>
      <c r="V74" s="343"/>
      <c r="W74" s="343"/>
    </row>
    <row r="75" spans="1:23" ht="63" x14ac:dyDescent="0.2">
      <c r="A75" s="352">
        <f>IF(F75&lt;&gt;"",1+MAX($A$6:A74),"")</f>
        <v>53</v>
      </c>
      <c r="B75" s="367" t="s">
        <v>567</v>
      </c>
      <c r="C75" s="361"/>
      <c r="D75" s="361"/>
      <c r="E75" s="374" t="s">
        <v>574</v>
      </c>
      <c r="F75" s="128">
        <v>1</v>
      </c>
      <c r="G75" s="436">
        <v>0</v>
      </c>
      <c r="H75" s="140">
        <f t="shared" si="46"/>
        <v>1</v>
      </c>
      <c r="I75" s="141" t="s">
        <v>20</v>
      </c>
      <c r="J75" s="817">
        <v>0</v>
      </c>
      <c r="K75" s="437">
        <f t="shared" si="45"/>
        <v>0</v>
      </c>
      <c r="L75" s="429"/>
      <c r="M75" s="343"/>
      <c r="N75" s="343"/>
      <c r="O75" s="343"/>
      <c r="P75" s="343"/>
      <c r="Q75" s="343"/>
      <c r="R75" s="343"/>
      <c r="S75" s="343"/>
      <c r="T75" s="343"/>
      <c r="U75" s="343"/>
      <c r="V75" s="343"/>
      <c r="W75" s="343"/>
    </row>
    <row r="76" spans="1:23" ht="63" x14ac:dyDescent="0.2">
      <c r="A76" s="352">
        <f>IF(F76&lt;&gt;"",1+MAX($A$6:A75),"")</f>
        <v>54</v>
      </c>
      <c r="B76" s="367" t="s">
        <v>567</v>
      </c>
      <c r="C76" s="364"/>
      <c r="D76" s="368"/>
      <c r="E76" s="373" t="s">
        <v>575</v>
      </c>
      <c r="F76" s="128">
        <v>31</v>
      </c>
      <c r="G76" s="436">
        <v>0</v>
      </c>
      <c r="H76" s="140">
        <f t="shared" si="46"/>
        <v>31</v>
      </c>
      <c r="I76" s="141" t="s">
        <v>20</v>
      </c>
      <c r="J76" s="817">
        <v>0</v>
      </c>
      <c r="K76" s="437">
        <f t="shared" si="45"/>
        <v>0</v>
      </c>
      <c r="L76" s="429"/>
      <c r="M76" s="343"/>
      <c r="N76" s="343"/>
      <c r="O76" s="343"/>
      <c r="P76" s="343"/>
      <c r="Q76" s="343"/>
      <c r="R76" s="343"/>
      <c r="S76" s="343"/>
      <c r="T76" s="343"/>
      <c r="U76" s="343"/>
      <c r="V76" s="343"/>
      <c r="W76" s="343"/>
    </row>
    <row r="77" spans="1:23" ht="63" x14ac:dyDescent="0.2">
      <c r="A77" s="352">
        <f>IF(F77&lt;&gt;"",1+MAX($A$6:A76),"")</f>
        <v>55</v>
      </c>
      <c r="B77" s="367" t="s">
        <v>567</v>
      </c>
      <c r="C77" s="361"/>
      <c r="D77" s="368"/>
      <c r="E77" s="373" t="s">
        <v>576</v>
      </c>
      <c r="F77" s="128">
        <v>12</v>
      </c>
      <c r="G77" s="436">
        <v>0</v>
      </c>
      <c r="H77" s="140">
        <f>F77*(1+G77)</f>
        <v>12</v>
      </c>
      <c r="I77" s="141" t="s">
        <v>20</v>
      </c>
      <c r="J77" s="817">
        <v>0</v>
      </c>
      <c r="K77" s="437">
        <f t="shared" si="45"/>
        <v>0</v>
      </c>
      <c r="L77" s="429"/>
      <c r="M77" s="343"/>
      <c r="N77" s="343"/>
      <c r="O77" s="343"/>
      <c r="P77" s="343"/>
      <c r="Q77" s="343"/>
      <c r="R77" s="343"/>
      <c r="S77" s="343"/>
      <c r="T77" s="343"/>
      <c r="U77" s="343"/>
      <c r="V77" s="343"/>
      <c r="W77" s="343"/>
    </row>
    <row r="78" spans="1:23" ht="63" x14ac:dyDescent="0.2">
      <c r="A78" s="352">
        <f>IF(F78&lt;&gt;"",1+MAX($A$6:A77),"")</f>
        <v>56</v>
      </c>
      <c r="B78" s="367" t="s">
        <v>567</v>
      </c>
      <c r="C78" s="361"/>
      <c r="D78" s="368"/>
      <c r="E78" s="373" t="s">
        <v>577</v>
      </c>
      <c r="F78" s="128">
        <v>3</v>
      </c>
      <c r="G78" s="436">
        <v>0</v>
      </c>
      <c r="H78" s="140">
        <f t="shared" ref="H78:H85" si="47">F78*(1+G78)</f>
        <v>3</v>
      </c>
      <c r="I78" s="141" t="s">
        <v>20</v>
      </c>
      <c r="J78" s="817">
        <v>0</v>
      </c>
      <c r="K78" s="437">
        <f t="shared" si="45"/>
        <v>0</v>
      </c>
      <c r="L78" s="429"/>
      <c r="M78" s="343"/>
      <c r="N78" s="343"/>
      <c r="O78" s="343"/>
      <c r="P78" s="343"/>
      <c r="Q78" s="343"/>
      <c r="R78" s="343"/>
      <c r="S78" s="343"/>
      <c r="T78" s="343"/>
      <c r="U78" s="343"/>
      <c r="V78" s="343"/>
      <c r="W78" s="343"/>
    </row>
    <row r="79" spans="1:23" ht="63" x14ac:dyDescent="0.2">
      <c r="A79" s="352">
        <f>IF(F79&lt;&gt;"",1+MAX($A$6:A78),"")</f>
        <v>57</v>
      </c>
      <c r="B79" s="367" t="s">
        <v>567</v>
      </c>
      <c r="C79" s="361"/>
      <c r="D79" s="361"/>
      <c r="E79" s="374" t="s">
        <v>578</v>
      </c>
      <c r="F79" s="128">
        <v>1</v>
      </c>
      <c r="G79" s="436">
        <v>0</v>
      </c>
      <c r="H79" s="140">
        <f t="shared" si="47"/>
        <v>1</v>
      </c>
      <c r="I79" s="141" t="s">
        <v>20</v>
      </c>
      <c r="J79" s="817">
        <v>0</v>
      </c>
      <c r="K79" s="437">
        <f t="shared" si="45"/>
        <v>0</v>
      </c>
      <c r="L79" s="429"/>
      <c r="M79" s="343"/>
      <c r="N79" s="343"/>
      <c r="O79" s="343"/>
      <c r="P79" s="343"/>
      <c r="Q79" s="343"/>
      <c r="R79" s="343"/>
      <c r="S79" s="343"/>
      <c r="T79" s="343"/>
      <c r="U79" s="343"/>
      <c r="V79" s="343"/>
      <c r="W79" s="343"/>
    </row>
    <row r="80" spans="1:23" ht="63" x14ac:dyDescent="0.2">
      <c r="A80" s="352">
        <f>IF(F80&lt;&gt;"",1+MAX($A$6:A79),"")</f>
        <v>58</v>
      </c>
      <c r="B80" s="367" t="s">
        <v>567</v>
      </c>
      <c r="C80" s="361"/>
      <c r="D80" s="361"/>
      <c r="E80" s="374" t="s">
        <v>579</v>
      </c>
      <c r="F80" s="128">
        <v>1</v>
      </c>
      <c r="G80" s="436">
        <v>0</v>
      </c>
      <c r="H80" s="140">
        <f t="shared" si="47"/>
        <v>1</v>
      </c>
      <c r="I80" s="141" t="s">
        <v>20</v>
      </c>
      <c r="J80" s="817">
        <v>0</v>
      </c>
      <c r="K80" s="437">
        <f t="shared" si="45"/>
        <v>0</v>
      </c>
      <c r="L80" s="429"/>
      <c r="M80" s="343"/>
      <c r="N80" s="343"/>
      <c r="O80" s="343"/>
      <c r="P80" s="343"/>
      <c r="Q80" s="343"/>
      <c r="R80" s="343"/>
      <c r="S80" s="343"/>
      <c r="T80" s="343"/>
      <c r="U80" s="343"/>
      <c r="V80" s="343"/>
      <c r="W80" s="343"/>
    </row>
    <row r="81" spans="1:23" ht="63" x14ac:dyDescent="0.2">
      <c r="A81" s="352">
        <f>IF(F81&lt;&gt;"",1+MAX($A$6:A80),"")</f>
        <v>59</v>
      </c>
      <c r="B81" s="367" t="s">
        <v>567</v>
      </c>
      <c r="C81" s="361"/>
      <c r="D81" s="368"/>
      <c r="E81" s="373" t="s">
        <v>577</v>
      </c>
      <c r="F81" s="128">
        <v>3</v>
      </c>
      <c r="G81" s="436">
        <v>0</v>
      </c>
      <c r="H81" s="140">
        <f t="shared" si="47"/>
        <v>3</v>
      </c>
      <c r="I81" s="141" t="s">
        <v>20</v>
      </c>
      <c r="J81" s="817">
        <v>0</v>
      </c>
      <c r="K81" s="437">
        <f t="shared" si="45"/>
        <v>0</v>
      </c>
      <c r="L81" s="429"/>
      <c r="M81" s="343"/>
      <c r="N81" s="343"/>
      <c r="O81" s="343"/>
      <c r="P81" s="343"/>
      <c r="Q81" s="343"/>
      <c r="R81" s="343"/>
      <c r="S81" s="343"/>
      <c r="T81" s="343"/>
      <c r="U81" s="343"/>
      <c r="V81" s="343"/>
      <c r="W81" s="343"/>
    </row>
    <row r="82" spans="1:23" ht="63" x14ac:dyDescent="0.2">
      <c r="A82" s="352">
        <f>IF(F82&lt;&gt;"",1+MAX($A$6:A81),"")</f>
        <v>60</v>
      </c>
      <c r="B82" s="367" t="s">
        <v>567</v>
      </c>
      <c r="C82" s="361"/>
      <c r="D82" s="361"/>
      <c r="E82" s="374" t="s">
        <v>578</v>
      </c>
      <c r="F82" s="128">
        <v>1</v>
      </c>
      <c r="G82" s="436">
        <v>0</v>
      </c>
      <c r="H82" s="140">
        <f t="shared" si="47"/>
        <v>1</v>
      </c>
      <c r="I82" s="141" t="s">
        <v>20</v>
      </c>
      <c r="J82" s="817">
        <v>0</v>
      </c>
      <c r="K82" s="437">
        <f t="shared" si="45"/>
        <v>0</v>
      </c>
      <c r="L82" s="429"/>
      <c r="M82" s="343"/>
      <c r="N82" s="343"/>
      <c r="O82" s="343"/>
      <c r="P82" s="343"/>
      <c r="Q82" s="343"/>
      <c r="R82" s="343"/>
      <c r="S82" s="343"/>
      <c r="T82" s="343"/>
      <c r="U82" s="343"/>
      <c r="V82" s="343"/>
      <c r="W82" s="343"/>
    </row>
    <row r="83" spans="1:23" ht="63" x14ac:dyDescent="0.2">
      <c r="A83" s="352">
        <f>IF(F83&lt;&gt;"",1+MAX($A$6:A82),"")</f>
        <v>61</v>
      </c>
      <c r="B83" s="367" t="s">
        <v>567</v>
      </c>
      <c r="C83" s="361"/>
      <c r="D83" s="361"/>
      <c r="E83" s="374" t="s">
        <v>579</v>
      </c>
      <c r="F83" s="128">
        <v>1</v>
      </c>
      <c r="G83" s="436">
        <v>0</v>
      </c>
      <c r="H83" s="140">
        <f t="shared" si="47"/>
        <v>1</v>
      </c>
      <c r="I83" s="141" t="s">
        <v>20</v>
      </c>
      <c r="J83" s="817">
        <v>0</v>
      </c>
      <c r="K83" s="437">
        <f t="shared" si="45"/>
        <v>0</v>
      </c>
      <c r="L83" s="429"/>
      <c r="M83" s="343"/>
      <c r="N83" s="343"/>
      <c r="O83" s="343"/>
      <c r="P83" s="343"/>
      <c r="Q83" s="343"/>
      <c r="R83" s="343"/>
      <c r="S83" s="343"/>
      <c r="T83" s="343"/>
      <c r="U83" s="343"/>
      <c r="V83" s="343"/>
      <c r="W83" s="343"/>
    </row>
    <row r="84" spans="1:23" ht="63" x14ac:dyDescent="0.2">
      <c r="A84" s="352">
        <f>IF(F84&lt;&gt;"",1+MAX($A$6:A83),"")</f>
        <v>62</v>
      </c>
      <c r="B84" s="367" t="s">
        <v>567</v>
      </c>
      <c r="C84" s="361"/>
      <c r="D84" s="361"/>
      <c r="E84" s="374" t="s">
        <v>580</v>
      </c>
      <c r="F84" s="128">
        <v>1</v>
      </c>
      <c r="G84" s="436">
        <v>0</v>
      </c>
      <c r="H84" s="140">
        <f t="shared" si="47"/>
        <v>1</v>
      </c>
      <c r="I84" s="141" t="s">
        <v>20</v>
      </c>
      <c r="J84" s="817">
        <v>0</v>
      </c>
      <c r="K84" s="437">
        <f t="shared" si="45"/>
        <v>0</v>
      </c>
      <c r="L84" s="429"/>
      <c r="M84" s="343"/>
      <c r="N84" s="343"/>
      <c r="O84" s="343"/>
      <c r="P84" s="343"/>
      <c r="Q84" s="343"/>
      <c r="R84" s="343"/>
      <c r="S84" s="343"/>
      <c r="T84" s="343"/>
      <c r="U84" s="343"/>
      <c r="V84" s="343"/>
      <c r="W84" s="343"/>
    </row>
    <row r="85" spans="1:23" ht="63" x14ac:dyDescent="0.2">
      <c r="A85" s="352">
        <f>IF(F85&lt;&gt;"",1+MAX($A$6:A84),"")</f>
        <v>63</v>
      </c>
      <c r="B85" s="367" t="s">
        <v>567</v>
      </c>
      <c r="C85" s="364"/>
      <c r="D85" s="368"/>
      <c r="E85" s="373" t="s">
        <v>581</v>
      </c>
      <c r="F85" s="128">
        <v>2</v>
      </c>
      <c r="G85" s="436">
        <v>0</v>
      </c>
      <c r="H85" s="140">
        <f t="shared" si="47"/>
        <v>2</v>
      </c>
      <c r="I85" s="141" t="s">
        <v>20</v>
      </c>
      <c r="J85" s="817">
        <v>0</v>
      </c>
      <c r="K85" s="437">
        <f t="shared" si="45"/>
        <v>0</v>
      </c>
      <c r="L85" s="429"/>
      <c r="M85" s="343"/>
      <c r="N85" s="343"/>
      <c r="O85" s="343"/>
      <c r="P85" s="343"/>
      <c r="Q85" s="343"/>
      <c r="R85" s="343"/>
      <c r="S85" s="343"/>
      <c r="T85" s="343"/>
      <c r="U85" s="343"/>
      <c r="V85" s="343"/>
      <c r="W85" s="343"/>
    </row>
    <row r="86" spans="1:23" ht="63" x14ac:dyDescent="0.2">
      <c r="A86" s="352">
        <f>IF(F86&lt;&gt;"",1+MAX($A$6:A85),"")</f>
        <v>64</v>
      </c>
      <c r="B86" s="367" t="s">
        <v>567</v>
      </c>
      <c r="C86" s="361"/>
      <c r="D86" s="368"/>
      <c r="E86" s="373" t="s">
        <v>582</v>
      </c>
      <c r="F86" s="128">
        <v>1</v>
      </c>
      <c r="G86" s="436">
        <v>0</v>
      </c>
      <c r="H86" s="140">
        <f>F86*(1+G86)</f>
        <v>1</v>
      </c>
      <c r="I86" s="141" t="s">
        <v>20</v>
      </c>
      <c r="J86" s="817">
        <v>0</v>
      </c>
      <c r="K86" s="437">
        <f t="shared" si="45"/>
        <v>0</v>
      </c>
      <c r="L86" s="429"/>
      <c r="M86" s="343"/>
      <c r="N86" s="343"/>
      <c r="O86" s="343"/>
      <c r="P86" s="343"/>
      <c r="Q86" s="343"/>
      <c r="R86" s="343"/>
      <c r="S86" s="343"/>
      <c r="T86" s="343"/>
      <c r="U86" s="343"/>
      <c r="V86" s="343"/>
      <c r="W86" s="343"/>
    </row>
    <row r="87" spans="1:23" ht="63" x14ac:dyDescent="0.2">
      <c r="A87" s="352">
        <f>IF(F87&lt;&gt;"",1+MAX($A$6:A86),"")</f>
        <v>65</v>
      </c>
      <c r="B87" s="367" t="s">
        <v>567</v>
      </c>
      <c r="C87" s="361"/>
      <c r="D87" s="368"/>
      <c r="E87" s="373" t="s">
        <v>583</v>
      </c>
      <c r="F87" s="128">
        <v>1</v>
      </c>
      <c r="G87" s="436">
        <v>0</v>
      </c>
      <c r="H87" s="140">
        <f t="shared" ref="H87:H100" si="48">F87*(1+G87)</f>
        <v>1</v>
      </c>
      <c r="I87" s="141" t="s">
        <v>20</v>
      </c>
      <c r="J87" s="817">
        <v>0</v>
      </c>
      <c r="K87" s="437">
        <f t="shared" si="45"/>
        <v>0</v>
      </c>
      <c r="L87" s="429"/>
      <c r="M87" s="343"/>
      <c r="N87" s="343"/>
      <c r="O87" s="343"/>
      <c r="P87" s="343"/>
      <c r="Q87" s="343"/>
      <c r="R87" s="343"/>
      <c r="S87" s="343"/>
      <c r="T87" s="343"/>
      <c r="U87" s="343"/>
      <c r="V87" s="343"/>
      <c r="W87" s="343"/>
    </row>
    <row r="88" spans="1:23" ht="63" x14ac:dyDescent="0.2">
      <c r="A88" s="352">
        <f>IF(F88&lt;&gt;"",1+MAX($A$6:A87),"")</f>
        <v>66</v>
      </c>
      <c r="B88" s="367" t="s">
        <v>567</v>
      </c>
      <c r="C88" s="361"/>
      <c r="D88" s="361"/>
      <c r="E88" s="374" t="s">
        <v>584</v>
      </c>
      <c r="F88" s="128">
        <v>1</v>
      </c>
      <c r="G88" s="436">
        <v>0</v>
      </c>
      <c r="H88" s="140">
        <f t="shared" si="48"/>
        <v>1</v>
      </c>
      <c r="I88" s="141" t="s">
        <v>20</v>
      </c>
      <c r="J88" s="817">
        <v>0</v>
      </c>
      <c r="K88" s="437">
        <f t="shared" si="45"/>
        <v>0</v>
      </c>
      <c r="L88" s="429"/>
      <c r="M88" s="343"/>
      <c r="N88" s="343"/>
      <c r="O88" s="343"/>
      <c r="P88" s="343"/>
      <c r="Q88" s="343"/>
      <c r="R88" s="343"/>
      <c r="S88" s="343"/>
      <c r="T88" s="343"/>
      <c r="U88" s="343"/>
      <c r="V88" s="343"/>
      <c r="W88" s="343"/>
    </row>
    <row r="89" spans="1:23" ht="63" x14ac:dyDescent="0.2">
      <c r="A89" s="352">
        <f>IF(F89&lt;&gt;"",1+MAX($A$6:A88),"")</f>
        <v>67</v>
      </c>
      <c r="B89" s="367" t="s">
        <v>567</v>
      </c>
      <c r="C89" s="361"/>
      <c r="D89" s="368"/>
      <c r="E89" s="373" t="s">
        <v>585</v>
      </c>
      <c r="F89" s="128">
        <v>1</v>
      </c>
      <c r="G89" s="436">
        <v>0</v>
      </c>
      <c r="H89" s="140">
        <f t="shared" si="48"/>
        <v>1</v>
      </c>
      <c r="I89" s="141" t="s">
        <v>20</v>
      </c>
      <c r="J89" s="817">
        <v>0</v>
      </c>
      <c r="K89" s="437">
        <f t="shared" si="45"/>
        <v>0</v>
      </c>
      <c r="L89" s="429"/>
      <c r="M89" s="343"/>
      <c r="N89" s="343"/>
      <c r="O89" s="343"/>
      <c r="P89" s="343"/>
      <c r="Q89" s="343"/>
      <c r="R89" s="343"/>
      <c r="S89" s="343"/>
      <c r="T89" s="343"/>
      <c r="U89" s="343"/>
      <c r="V89" s="343"/>
      <c r="W89" s="343"/>
    </row>
    <row r="90" spans="1:23" ht="63" x14ac:dyDescent="0.2">
      <c r="A90" s="352">
        <f>IF(F90&lt;&gt;"",1+MAX($A$6:A89),"")</f>
        <v>68</v>
      </c>
      <c r="B90" s="367" t="s">
        <v>567</v>
      </c>
      <c r="C90" s="361"/>
      <c r="D90" s="368"/>
      <c r="E90" s="373" t="s">
        <v>586</v>
      </c>
      <c r="F90" s="128">
        <v>1</v>
      </c>
      <c r="G90" s="436">
        <v>0</v>
      </c>
      <c r="H90" s="140">
        <f t="shared" si="48"/>
        <v>1</v>
      </c>
      <c r="I90" s="141" t="s">
        <v>20</v>
      </c>
      <c r="J90" s="817">
        <v>0</v>
      </c>
      <c r="K90" s="437">
        <f t="shared" si="45"/>
        <v>0</v>
      </c>
      <c r="L90" s="429"/>
      <c r="M90" s="343"/>
      <c r="N90" s="343"/>
      <c r="O90" s="343"/>
      <c r="P90" s="343"/>
      <c r="Q90" s="343"/>
      <c r="R90" s="343"/>
      <c r="S90" s="343"/>
      <c r="T90" s="343"/>
      <c r="U90" s="343"/>
      <c r="V90" s="343"/>
      <c r="W90" s="343"/>
    </row>
    <row r="91" spans="1:23" ht="63" x14ac:dyDescent="0.2">
      <c r="A91" s="352">
        <f>IF(F91&lt;&gt;"",1+MAX($A$6:A90),"")</f>
        <v>69</v>
      </c>
      <c r="B91" s="367" t="s">
        <v>567</v>
      </c>
      <c r="C91" s="361"/>
      <c r="D91" s="368"/>
      <c r="E91" s="373" t="s">
        <v>587</v>
      </c>
      <c r="F91" s="128">
        <v>1</v>
      </c>
      <c r="G91" s="436">
        <v>0</v>
      </c>
      <c r="H91" s="140">
        <f t="shared" si="48"/>
        <v>1</v>
      </c>
      <c r="I91" s="141" t="s">
        <v>20</v>
      </c>
      <c r="J91" s="817">
        <v>0</v>
      </c>
      <c r="K91" s="437">
        <f t="shared" si="45"/>
        <v>0</v>
      </c>
      <c r="L91" s="429"/>
      <c r="M91" s="343"/>
      <c r="N91" s="343"/>
      <c r="O91" s="343"/>
      <c r="P91" s="343"/>
      <c r="Q91" s="343"/>
      <c r="R91" s="343"/>
      <c r="S91" s="343"/>
      <c r="T91" s="343"/>
      <c r="U91" s="343"/>
      <c r="V91" s="343"/>
      <c r="W91" s="343"/>
    </row>
    <row r="92" spans="1:23" ht="63" x14ac:dyDescent="0.2">
      <c r="A92" s="352">
        <f>IF(F92&lt;&gt;"",1+MAX($A$6:A91),"")</f>
        <v>70</v>
      </c>
      <c r="B92" s="367" t="s">
        <v>567</v>
      </c>
      <c r="C92" s="361"/>
      <c r="D92" s="368"/>
      <c r="E92" s="373" t="s">
        <v>588</v>
      </c>
      <c r="F92" s="128">
        <v>1</v>
      </c>
      <c r="G92" s="436">
        <v>0</v>
      </c>
      <c r="H92" s="140">
        <f t="shared" si="48"/>
        <v>1</v>
      </c>
      <c r="I92" s="141" t="s">
        <v>20</v>
      </c>
      <c r="J92" s="817">
        <v>0</v>
      </c>
      <c r="K92" s="437">
        <f t="shared" si="45"/>
        <v>0</v>
      </c>
      <c r="L92" s="429"/>
      <c r="M92" s="343"/>
      <c r="N92" s="343"/>
      <c r="O92" s="343"/>
      <c r="P92" s="343"/>
      <c r="Q92" s="343"/>
      <c r="R92" s="343"/>
      <c r="S92" s="343"/>
      <c r="T92" s="343"/>
      <c r="U92" s="343"/>
      <c r="V92" s="343"/>
      <c r="W92" s="343"/>
    </row>
    <row r="93" spans="1:23" ht="63" x14ac:dyDescent="0.2">
      <c r="A93" s="352">
        <f>IF(F93&lt;&gt;"",1+MAX($A$6:A92),"")</f>
        <v>71</v>
      </c>
      <c r="B93" s="367" t="s">
        <v>567</v>
      </c>
      <c r="C93" s="361"/>
      <c r="D93" s="361"/>
      <c r="E93" s="374" t="s">
        <v>589</v>
      </c>
      <c r="F93" s="128">
        <v>64</v>
      </c>
      <c r="G93" s="436">
        <v>0</v>
      </c>
      <c r="H93" s="140">
        <f t="shared" si="48"/>
        <v>64</v>
      </c>
      <c r="I93" s="141" t="s">
        <v>20</v>
      </c>
      <c r="J93" s="817">
        <v>0</v>
      </c>
      <c r="K93" s="437">
        <f t="shared" si="45"/>
        <v>0</v>
      </c>
      <c r="L93" s="429"/>
      <c r="M93" s="343"/>
      <c r="N93" s="343"/>
      <c r="O93" s="343"/>
      <c r="P93" s="343"/>
      <c r="Q93" s="343"/>
      <c r="R93" s="343"/>
      <c r="S93" s="343"/>
      <c r="T93" s="343"/>
      <c r="U93" s="343"/>
      <c r="V93" s="343"/>
      <c r="W93" s="343"/>
    </row>
    <row r="94" spans="1:23" ht="63" x14ac:dyDescent="0.2">
      <c r="A94" s="352">
        <f>IF(F94&lt;&gt;"",1+MAX($A$6:A93),"")</f>
        <v>72</v>
      </c>
      <c r="B94" s="367" t="s">
        <v>567</v>
      </c>
      <c r="C94" s="361"/>
      <c r="D94" s="368"/>
      <c r="E94" s="373" t="s">
        <v>590</v>
      </c>
      <c r="F94" s="128">
        <v>20</v>
      </c>
      <c r="G94" s="436">
        <v>0</v>
      </c>
      <c r="H94" s="140">
        <f t="shared" si="48"/>
        <v>20</v>
      </c>
      <c r="I94" s="141" t="s">
        <v>20</v>
      </c>
      <c r="J94" s="817">
        <v>0</v>
      </c>
      <c r="K94" s="437">
        <f t="shared" si="45"/>
        <v>0</v>
      </c>
      <c r="L94" s="429"/>
      <c r="M94" s="343"/>
      <c r="N94" s="343"/>
      <c r="O94" s="343"/>
      <c r="P94" s="343"/>
      <c r="Q94" s="343"/>
      <c r="R94" s="343"/>
      <c r="S94" s="343"/>
      <c r="T94" s="343"/>
      <c r="U94" s="343"/>
      <c r="V94" s="343"/>
      <c r="W94" s="343"/>
    </row>
    <row r="95" spans="1:23" ht="63" x14ac:dyDescent="0.2">
      <c r="A95" s="352">
        <f>IF(F95&lt;&gt;"",1+MAX($A$6:A94),"")</f>
        <v>73</v>
      </c>
      <c r="B95" s="367" t="s">
        <v>567</v>
      </c>
      <c r="C95" s="364"/>
      <c r="D95" s="368"/>
      <c r="E95" s="373" t="s">
        <v>591</v>
      </c>
      <c r="F95" s="128">
        <v>1</v>
      </c>
      <c r="G95" s="436">
        <v>0</v>
      </c>
      <c r="H95" s="140">
        <f t="shared" si="48"/>
        <v>1</v>
      </c>
      <c r="I95" s="141" t="s">
        <v>20</v>
      </c>
      <c r="J95" s="817">
        <v>0</v>
      </c>
      <c r="K95" s="437">
        <f t="shared" si="45"/>
        <v>0</v>
      </c>
      <c r="L95" s="429"/>
      <c r="M95" s="343"/>
      <c r="N95" s="343"/>
      <c r="O95" s="343"/>
      <c r="P95" s="343"/>
      <c r="Q95" s="343"/>
      <c r="R95" s="343"/>
      <c r="S95" s="343"/>
      <c r="T95" s="343"/>
      <c r="U95" s="343"/>
      <c r="V95" s="343"/>
      <c r="W95" s="343"/>
    </row>
    <row r="96" spans="1:23" ht="63" x14ac:dyDescent="0.2">
      <c r="A96" s="352">
        <f>IF(F96&lt;&gt;"",1+MAX($A$6:A95),"")</f>
        <v>74</v>
      </c>
      <c r="B96" s="367" t="s">
        <v>567</v>
      </c>
      <c r="C96" s="361"/>
      <c r="D96" s="368"/>
      <c r="E96" s="373" t="s">
        <v>592</v>
      </c>
      <c r="F96" s="128">
        <v>1</v>
      </c>
      <c r="G96" s="436">
        <v>0</v>
      </c>
      <c r="H96" s="140">
        <f>F96*(1+G96)</f>
        <v>1</v>
      </c>
      <c r="I96" s="141" t="s">
        <v>20</v>
      </c>
      <c r="J96" s="817">
        <v>0</v>
      </c>
      <c r="K96" s="437">
        <f t="shared" si="45"/>
        <v>0</v>
      </c>
      <c r="L96" s="429"/>
      <c r="M96" s="343"/>
      <c r="N96" s="343"/>
      <c r="O96" s="343"/>
      <c r="P96" s="343"/>
      <c r="Q96" s="343"/>
      <c r="R96" s="343"/>
      <c r="S96" s="343"/>
      <c r="T96" s="343"/>
      <c r="U96" s="343"/>
      <c r="V96" s="343"/>
      <c r="W96" s="343"/>
    </row>
    <row r="97" spans="1:23" ht="63" x14ac:dyDescent="0.2">
      <c r="A97" s="352">
        <f>IF(F97&lt;&gt;"",1+MAX($A$6:A96),"")</f>
        <v>75</v>
      </c>
      <c r="B97" s="367" t="s">
        <v>567</v>
      </c>
      <c r="C97" s="361"/>
      <c r="D97" s="368"/>
      <c r="E97" s="373" t="s">
        <v>593</v>
      </c>
      <c r="F97" s="128">
        <v>2</v>
      </c>
      <c r="G97" s="436">
        <v>0</v>
      </c>
      <c r="H97" s="140">
        <f t="shared" si="48"/>
        <v>2</v>
      </c>
      <c r="I97" s="141" t="s">
        <v>20</v>
      </c>
      <c r="J97" s="817">
        <v>0</v>
      </c>
      <c r="K97" s="437">
        <f t="shared" si="45"/>
        <v>0</v>
      </c>
      <c r="L97" s="429"/>
      <c r="M97" s="343"/>
      <c r="N97" s="343"/>
      <c r="O97" s="343"/>
      <c r="P97" s="343"/>
      <c r="Q97" s="343"/>
      <c r="R97" s="343"/>
      <c r="S97" s="343"/>
      <c r="T97" s="343"/>
      <c r="U97" s="343"/>
      <c r="V97" s="343"/>
      <c r="W97" s="343"/>
    </row>
    <row r="98" spans="1:23" ht="63" x14ac:dyDescent="0.2">
      <c r="A98" s="352">
        <f>IF(F98&lt;&gt;"",1+MAX($A$6:A97),"")</f>
        <v>76</v>
      </c>
      <c r="B98" s="367" t="s">
        <v>567</v>
      </c>
      <c r="C98" s="361"/>
      <c r="D98" s="361"/>
      <c r="E98" s="374" t="s">
        <v>594</v>
      </c>
      <c r="F98" s="128">
        <v>3</v>
      </c>
      <c r="G98" s="436">
        <v>0</v>
      </c>
      <c r="H98" s="140">
        <f t="shared" si="48"/>
        <v>3</v>
      </c>
      <c r="I98" s="141" t="s">
        <v>20</v>
      </c>
      <c r="J98" s="817">
        <v>0</v>
      </c>
      <c r="K98" s="437">
        <f t="shared" si="45"/>
        <v>0</v>
      </c>
      <c r="L98" s="429"/>
      <c r="M98" s="343"/>
      <c r="N98" s="343"/>
      <c r="O98" s="343"/>
      <c r="P98" s="343"/>
      <c r="Q98" s="343"/>
      <c r="R98" s="343"/>
      <c r="S98" s="343"/>
      <c r="T98" s="343"/>
      <c r="U98" s="343"/>
      <c r="V98" s="343"/>
      <c r="W98" s="343"/>
    </row>
    <row r="99" spans="1:23" ht="63" x14ac:dyDescent="0.2">
      <c r="A99" s="352">
        <f>IF(F99&lt;&gt;"",1+MAX($A$6:A98),"")</f>
        <v>77</v>
      </c>
      <c r="B99" s="367" t="s">
        <v>567</v>
      </c>
      <c r="C99" s="361"/>
      <c r="D99" s="361"/>
      <c r="E99" s="374" t="s">
        <v>595</v>
      </c>
      <c r="F99" s="128">
        <v>1</v>
      </c>
      <c r="G99" s="436">
        <v>0</v>
      </c>
      <c r="H99" s="140">
        <f t="shared" si="48"/>
        <v>1</v>
      </c>
      <c r="I99" s="141" t="s">
        <v>20</v>
      </c>
      <c r="J99" s="817">
        <v>0</v>
      </c>
      <c r="K99" s="437">
        <f t="shared" si="45"/>
        <v>0</v>
      </c>
      <c r="L99" s="429"/>
      <c r="M99" s="343"/>
      <c r="N99" s="343"/>
      <c r="O99" s="343"/>
      <c r="P99" s="343"/>
      <c r="Q99" s="343"/>
      <c r="R99" s="343"/>
      <c r="S99" s="343"/>
      <c r="T99" s="343"/>
      <c r="U99" s="343"/>
      <c r="V99" s="343"/>
      <c r="W99" s="343"/>
    </row>
    <row r="100" spans="1:23" ht="63" x14ac:dyDescent="0.2">
      <c r="A100" s="352">
        <f>IF(F100&lt;&gt;"",1+MAX($A$6:A99),"")</f>
        <v>78</v>
      </c>
      <c r="B100" s="367" t="s">
        <v>567</v>
      </c>
      <c r="C100" s="364"/>
      <c r="D100" s="368"/>
      <c r="E100" s="374" t="s">
        <v>596</v>
      </c>
      <c r="F100" s="128">
        <v>7</v>
      </c>
      <c r="G100" s="436">
        <v>0</v>
      </c>
      <c r="H100" s="140">
        <f t="shared" si="48"/>
        <v>7</v>
      </c>
      <c r="I100" s="141" t="s">
        <v>20</v>
      </c>
      <c r="J100" s="817">
        <v>0</v>
      </c>
      <c r="K100" s="437">
        <f t="shared" si="45"/>
        <v>0</v>
      </c>
      <c r="L100" s="429"/>
      <c r="M100" s="343"/>
      <c r="N100" s="343"/>
      <c r="O100" s="343"/>
      <c r="P100" s="343"/>
      <c r="Q100" s="343"/>
      <c r="R100" s="343"/>
      <c r="S100" s="343"/>
      <c r="T100" s="343"/>
      <c r="U100" s="343"/>
      <c r="V100" s="343"/>
      <c r="W100" s="343"/>
    </row>
    <row r="101" spans="1:23" ht="63" x14ac:dyDescent="0.2">
      <c r="A101" s="352">
        <f>IF(F101&lt;&gt;"",1+MAX($A$6:A100),"")</f>
        <v>79</v>
      </c>
      <c r="B101" s="367" t="s">
        <v>567</v>
      </c>
      <c r="C101" s="361"/>
      <c r="D101" s="368"/>
      <c r="E101" s="373" t="s">
        <v>597</v>
      </c>
      <c r="F101" s="128">
        <v>1</v>
      </c>
      <c r="G101" s="436">
        <v>0</v>
      </c>
      <c r="H101" s="140">
        <f>F101*(1+G101)</f>
        <v>1</v>
      </c>
      <c r="I101" s="141" t="s">
        <v>20</v>
      </c>
      <c r="J101" s="817">
        <v>0</v>
      </c>
      <c r="K101" s="437">
        <f t="shared" si="45"/>
        <v>0</v>
      </c>
      <c r="L101" s="429"/>
      <c r="M101" s="343"/>
      <c r="N101" s="343"/>
      <c r="O101" s="343"/>
      <c r="P101" s="343"/>
      <c r="Q101" s="343"/>
      <c r="R101" s="343"/>
      <c r="S101" s="343"/>
      <c r="T101" s="343"/>
      <c r="U101" s="343"/>
      <c r="V101" s="343"/>
      <c r="W101" s="343"/>
    </row>
    <row r="102" spans="1:23" ht="63" x14ac:dyDescent="0.2">
      <c r="A102" s="352">
        <f>IF(F102&lt;&gt;"",1+MAX($A$6:A101),"")</f>
        <v>80</v>
      </c>
      <c r="B102" s="367" t="s">
        <v>567</v>
      </c>
      <c r="C102" s="361"/>
      <c r="D102" s="368"/>
      <c r="E102" s="373" t="s">
        <v>598</v>
      </c>
      <c r="F102" s="128">
        <v>1</v>
      </c>
      <c r="G102" s="436">
        <v>0</v>
      </c>
      <c r="H102" s="140">
        <f>F102*(1+G102)</f>
        <v>1</v>
      </c>
      <c r="I102" s="141" t="s">
        <v>20</v>
      </c>
      <c r="J102" s="817">
        <v>0</v>
      </c>
      <c r="K102" s="437">
        <f t="shared" si="45"/>
        <v>0</v>
      </c>
      <c r="L102" s="429"/>
      <c r="M102" s="343"/>
      <c r="N102" s="343"/>
      <c r="O102" s="343"/>
      <c r="P102" s="343"/>
      <c r="Q102" s="343"/>
      <c r="R102" s="343"/>
      <c r="S102" s="343"/>
      <c r="T102" s="343"/>
      <c r="U102" s="343"/>
      <c r="V102" s="343"/>
      <c r="W102" s="343"/>
    </row>
    <row r="103" spans="1:23" ht="63" x14ac:dyDescent="0.2">
      <c r="A103" s="352">
        <f>IF(F103&lt;&gt;"",1+MAX($A$6:A102),"")</f>
        <v>81</v>
      </c>
      <c r="B103" s="367" t="s">
        <v>567</v>
      </c>
      <c r="C103" s="361"/>
      <c r="D103" s="368"/>
      <c r="E103" s="373" t="s">
        <v>599</v>
      </c>
      <c r="F103" s="128">
        <v>1</v>
      </c>
      <c r="G103" s="436">
        <v>0</v>
      </c>
      <c r="H103" s="140">
        <f t="shared" ref="H103:H107" si="49">F103*(1+G103)</f>
        <v>1</v>
      </c>
      <c r="I103" s="141" t="s">
        <v>20</v>
      </c>
      <c r="J103" s="817">
        <v>0</v>
      </c>
      <c r="K103" s="437">
        <f t="shared" si="45"/>
        <v>0</v>
      </c>
      <c r="L103" s="429"/>
      <c r="M103" s="343"/>
      <c r="N103" s="343"/>
      <c r="O103" s="343"/>
      <c r="P103" s="343"/>
      <c r="Q103" s="343"/>
      <c r="R103" s="343"/>
      <c r="S103" s="343"/>
      <c r="T103" s="343"/>
      <c r="U103" s="343"/>
      <c r="V103" s="343"/>
      <c r="W103" s="343"/>
    </row>
    <row r="104" spans="1:23" ht="63" x14ac:dyDescent="0.2">
      <c r="A104" s="352">
        <f>IF(F104&lt;&gt;"",1+MAX($A$6:A103),"")</f>
        <v>82</v>
      </c>
      <c r="B104" s="367" t="s">
        <v>567</v>
      </c>
      <c r="C104" s="361"/>
      <c r="D104" s="368"/>
      <c r="E104" s="373" t="s">
        <v>600</v>
      </c>
      <c r="F104" s="128">
        <v>1</v>
      </c>
      <c r="G104" s="436">
        <v>0</v>
      </c>
      <c r="H104" s="140">
        <f t="shared" si="49"/>
        <v>1</v>
      </c>
      <c r="I104" s="141" t="s">
        <v>20</v>
      </c>
      <c r="J104" s="817">
        <v>0</v>
      </c>
      <c r="K104" s="437">
        <f t="shared" si="45"/>
        <v>0</v>
      </c>
      <c r="L104" s="429"/>
      <c r="M104" s="343"/>
      <c r="N104" s="343"/>
      <c r="O104" s="343"/>
      <c r="P104" s="343"/>
      <c r="Q104" s="343"/>
      <c r="R104" s="343"/>
      <c r="S104" s="343"/>
      <c r="T104" s="343"/>
      <c r="U104" s="343"/>
      <c r="V104" s="343"/>
      <c r="W104" s="343"/>
    </row>
    <row r="105" spans="1:23" ht="63" x14ac:dyDescent="0.2">
      <c r="A105" s="352">
        <f>IF(F105&lt;&gt;"",1+MAX($A$6:A104),"")</f>
        <v>83</v>
      </c>
      <c r="B105" s="367" t="s">
        <v>567</v>
      </c>
      <c r="C105" s="361"/>
      <c r="D105" s="361"/>
      <c r="E105" s="374" t="s">
        <v>601</v>
      </c>
      <c r="F105" s="128">
        <v>1</v>
      </c>
      <c r="G105" s="436">
        <v>0</v>
      </c>
      <c r="H105" s="140">
        <f t="shared" si="49"/>
        <v>1</v>
      </c>
      <c r="I105" s="141" t="s">
        <v>20</v>
      </c>
      <c r="J105" s="817">
        <v>0</v>
      </c>
      <c r="K105" s="437">
        <f t="shared" si="45"/>
        <v>0</v>
      </c>
      <c r="L105" s="429"/>
      <c r="M105" s="343"/>
      <c r="N105" s="343"/>
      <c r="O105" s="343"/>
      <c r="P105" s="343"/>
      <c r="Q105" s="343"/>
      <c r="R105" s="343"/>
      <c r="S105" s="343"/>
      <c r="T105" s="343"/>
      <c r="U105" s="343"/>
      <c r="V105" s="343"/>
      <c r="W105" s="343"/>
    </row>
    <row r="106" spans="1:23" ht="63" x14ac:dyDescent="0.2">
      <c r="A106" s="352">
        <f>IF(F106&lt;&gt;"",1+MAX($A$6:A105),"")</f>
        <v>84</v>
      </c>
      <c r="B106" s="367" t="s">
        <v>567</v>
      </c>
      <c r="C106" s="361"/>
      <c r="D106" s="361"/>
      <c r="E106" s="374" t="s">
        <v>602</v>
      </c>
      <c r="F106" s="128">
        <v>4</v>
      </c>
      <c r="G106" s="436">
        <v>0</v>
      </c>
      <c r="H106" s="140">
        <f t="shared" si="49"/>
        <v>4</v>
      </c>
      <c r="I106" s="141" t="s">
        <v>20</v>
      </c>
      <c r="J106" s="817">
        <v>0</v>
      </c>
      <c r="K106" s="437">
        <f t="shared" si="45"/>
        <v>0</v>
      </c>
      <c r="L106" s="429"/>
      <c r="M106" s="343"/>
      <c r="N106" s="343"/>
      <c r="O106" s="343"/>
      <c r="P106" s="343"/>
      <c r="Q106" s="343"/>
      <c r="R106" s="343"/>
      <c r="S106" s="343"/>
      <c r="T106" s="343"/>
      <c r="U106" s="343"/>
      <c r="V106" s="343"/>
      <c r="W106" s="343"/>
    </row>
    <row r="107" spans="1:23" ht="63" x14ac:dyDescent="0.2">
      <c r="A107" s="352">
        <f>IF(F107&lt;&gt;"",1+MAX($A$6:A106),"")</f>
        <v>85</v>
      </c>
      <c r="B107" s="367" t="s">
        <v>567</v>
      </c>
      <c r="C107" s="361"/>
      <c r="D107" s="361"/>
      <c r="E107" s="374" t="s">
        <v>603</v>
      </c>
      <c r="F107" s="128">
        <v>9</v>
      </c>
      <c r="G107" s="436">
        <v>0</v>
      </c>
      <c r="H107" s="140">
        <f t="shared" si="49"/>
        <v>9</v>
      </c>
      <c r="I107" s="141" t="s">
        <v>20</v>
      </c>
      <c r="J107" s="817">
        <v>0</v>
      </c>
      <c r="K107" s="437">
        <f t="shared" si="45"/>
        <v>0</v>
      </c>
      <c r="L107" s="429"/>
      <c r="M107" s="343"/>
      <c r="N107" s="343"/>
      <c r="O107" s="343"/>
      <c r="P107" s="343"/>
      <c r="Q107" s="343"/>
      <c r="R107" s="343"/>
      <c r="S107" s="343"/>
      <c r="T107" s="343"/>
      <c r="U107" s="343"/>
      <c r="V107" s="343"/>
      <c r="W107" s="343"/>
    </row>
    <row r="108" spans="1:23" ht="16.5" thickBot="1" x14ac:dyDescent="0.25">
      <c r="A108" s="352" t="str">
        <f>IF(F108&lt;&gt;"",1+MAX($A$6:A107),"")</f>
        <v/>
      </c>
      <c r="B108" s="141"/>
      <c r="C108" s="364"/>
      <c r="D108" s="370"/>
      <c r="E108" s="375"/>
      <c r="F108" s="430"/>
      <c r="G108" s="431"/>
      <c r="H108" s="430"/>
      <c r="I108" s="432"/>
      <c r="J108" s="134"/>
      <c r="K108" s="433"/>
      <c r="L108" s="434"/>
      <c r="M108" s="343"/>
      <c r="N108" s="343"/>
      <c r="O108" s="343"/>
      <c r="P108" s="343"/>
      <c r="Q108" s="343"/>
      <c r="R108" s="343"/>
      <c r="S108" s="343"/>
      <c r="T108" s="343"/>
      <c r="U108" s="343"/>
      <c r="V108" s="343"/>
      <c r="W108" s="343"/>
    </row>
    <row r="109" spans="1:23" ht="19.5" thickBot="1" x14ac:dyDescent="0.25">
      <c r="A109" s="352" t="str">
        <f>IF(F109&lt;&gt;"",1+MAX($A$6:A108),"")</f>
        <v/>
      </c>
      <c r="B109" s="357"/>
      <c r="C109" s="358"/>
      <c r="D109" s="359" t="s">
        <v>511</v>
      </c>
      <c r="E109" s="360" t="s">
        <v>604</v>
      </c>
      <c r="F109" s="359"/>
      <c r="G109" s="424"/>
      <c r="H109" s="425"/>
      <c r="I109" s="426"/>
      <c r="J109" s="818"/>
      <c r="K109" s="819"/>
      <c r="L109" s="429"/>
      <c r="M109" s="345"/>
      <c r="N109" s="345"/>
      <c r="O109" s="345"/>
      <c r="P109" s="345"/>
      <c r="Q109" s="345"/>
      <c r="R109" s="343"/>
      <c r="S109" s="343"/>
      <c r="T109" s="343"/>
      <c r="U109" s="343"/>
      <c r="V109" s="343"/>
      <c r="W109" s="343"/>
    </row>
    <row r="110" spans="1:23" ht="48.75" customHeight="1" thickBot="1" x14ac:dyDescent="0.25">
      <c r="A110" s="352" t="str">
        <f>IF(F110&lt;&gt;"",1+MAX($A$6:A109),"")</f>
        <v/>
      </c>
      <c r="B110" s="141"/>
      <c r="C110" s="361"/>
      <c r="D110" s="370"/>
      <c r="E110" s="363" t="s">
        <v>605</v>
      </c>
      <c r="F110" s="430"/>
      <c r="G110" s="431"/>
      <c r="H110" s="430"/>
      <c r="I110" s="432"/>
      <c r="J110" s="134"/>
      <c r="K110" s="433"/>
      <c r="L110" s="434"/>
      <c r="M110" s="343"/>
      <c r="N110" s="343"/>
      <c r="O110" s="343"/>
      <c r="P110" s="343"/>
      <c r="Q110" s="343"/>
      <c r="R110" s="343"/>
      <c r="S110" s="343"/>
      <c r="T110" s="343"/>
      <c r="U110" s="343"/>
      <c r="V110" s="343"/>
      <c r="W110" s="343"/>
    </row>
    <row r="111" spans="1:23" ht="16.5" customHeight="1" thickBot="1" x14ac:dyDescent="0.25">
      <c r="A111" s="352" t="str">
        <f>IF(F111&lt;&gt;"",1+MAX($A$6:A110),"")</f>
        <v/>
      </c>
      <c r="B111" s="123"/>
      <c r="C111" s="364"/>
      <c r="D111" s="365"/>
      <c r="E111" s="366" t="s">
        <v>514</v>
      </c>
      <c r="F111" s="435"/>
      <c r="G111" s="431"/>
      <c r="H111" s="430"/>
      <c r="I111" s="432"/>
      <c r="J111" s="134"/>
      <c r="K111" s="428"/>
      <c r="L111" s="429"/>
      <c r="M111" s="345"/>
      <c r="N111" s="345"/>
      <c r="O111" s="345"/>
      <c r="P111" s="345"/>
      <c r="Q111" s="345"/>
      <c r="R111" s="343"/>
      <c r="S111" s="343"/>
      <c r="T111" s="343"/>
      <c r="U111" s="343"/>
      <c r="V111" s="343"/>
      <c r="W111" s="343"/>
    </row>
    <row r="112" spans="1:23" x14ac:dyDescent="0.2">
      <c r="A112" s="352">
        <f>IF(F112&lt;&gt;"",1+MAX($A$6:A111),"")</f>
        <v>86</v>
      </c>
      <c r="B112" s="367" t="s">
        <v>515</v>
      </c>
      <c r="C112" s="364"/>
      <c r="D112" s="368"/>
      <c r="E112" s="369" t="s">
        <v>606</v>
      </c>
      <c r="F112" s="128">
        <v>95.61</v>
      </c>
      <c r="G112" s="436">
        <v>0.1</v>
      </c>
      <c r="H112" s="140">
        <f>F112*(1+G112)</f>
        <v>105.17100000000001</v>
      </c>
      <c r="I112" s="141" t="s">
        <v>15</v>
      </c>
      <c r="J112" s="817">
        <v>0</v>
      </c>
      <c r="K112" s="437">
        <f t="shared" ref="K112:K113" si="50">J112*H112</f>
        <v>0</v>
      </c>
      <c r="L112" s="429"/>
      <c r="M112" s="343"/>
      <c r="N112" s="343"/>
      <c r="O112" s="343"/>
      <c r="P112" s="343"/>
      <c r="Q112" s="343"/>
      <c r="R112" s="343"/>
      <c r="S112" s="343"/>
      <c r="T112" s="343"/>
      <c r="U112" s="343"/>
      <c r="V112" s="343"/>
      <c r="W112" s="343"/>
    </row>
    <row r="113" spans="1:23" x14ac:dyDescent="0.2">
      <c r="A113" s="352">
        <f>IF(F113&lt;&gt;"",1+MAX($A$6:A112),"")</f>
        <v>87</v>
      </c>
      <c r="B113" s="367" t="s">
        <v>515</v>
      </c>
      <c r="C113" s="364"/>
      <c r="D113" s="368"/>
      <c r="E113" s="369" t="s">
        <v>607</v>
      </c>
      <c r="F113" s="128">
        <v>55.78</v>
      </c>
      <c r="G113" s="436">
        <v>0.1</v>
      </c>
      <c r="H113" s="140">
        <f>F113*(1+G113)</f>
        <v>61.358000000000004</v>
      </c>
      <c r="I113" s="141" t="s">
        <v>15</v>
      </c>
      <c r="J113" s="817">
        <v>0</v>
      </c>
      <c r="K113" s="437">
        <f t="shared" si="50"/>
        <v>0</v>
      </c>
      <c r="L113" s="429"/>
      <c r="M113" s="343"/>
      <c r="N113" s="376"/>
      <c r="O113" s="343"/>
      <c r="P113" s="343"/>
      <c r="Q113" s="343"/>
      <c r="R113" s="343"/>
      <c r="S113" s="343"/>
      <c r="T113" s="343"/>
      <c r="U113" s="343"/>
      <c r="V113" s="343"/>
      <c r="W113" s="343"/>
    </row>
    <row r="114" spans="1:23" x14ac:dyDescent="0.2">
      <c r="A114" s="352" t="str">
        <f>IF(F114&lt;&gt;"",1+MAX($A$6:A113),"")</f>
        <v/>
      </c>
      <c r="B114" s="141"/>
      <c r="C114" s="364"/>
      <c r="D114" s="370"/>
      <c r="E114" s="371"/>
      <c r="F114" s="430"/>
      <c r="G114" s="431"/>
      <c r="H114" s="430"/>
      <c r="I114" s="432"/>
      <c r="J114" s="134"/>
      <c r="K114" s="433"/>
      <c r="L114" s="434"/>
      <c r="M114" s="343"/>
      <c r="N114" s="343"/>
      <c r="O114" s="343"/>
      <c r="P114" s="343"/>
      <c r="Q114" s="343"/>
      <c r="R114" s="343"/>
      <c r="S114" s="343"/>
      <c r="T114" s="343"/>
      <c r="U114" s="343"/>
      <c r="V114" s="343"/>
      <c r="W114" s="343"/>
    </row>
    <row r="115" spans="1:23" x14ac:dyDescent="0.2">
      <c r="A115" s="352">
        <f>IF(F115&lt;&gt;"",1+MAX($A$6:A114),"")</f>
        <v>88</v>
      </c>
      <c r="B115" s="367" t="s">
        <v>515</v>
      </c>
      <c r="C115" s="364"/>
      <c r="D115" s="368"/>
      <c r="E115" s="369" t="s">
        <v>608</v>
      </c>
      <c r="F115" s="128">
        <v>56.49</v>
      </c>
      <c r="G115" s="436">
        <v>0.1</v>
      </c>
      <c r="H115" s="140">
        <f>F115*(1+G115)</f>
        <v>62.13900000000001</v>
      </c>
      <c r="I115" s="141" t="s">
        <v>15</v>
      </c>
      <c r="J115" s="438">
        <f t="shared" ref="J115" si="51">J$112</f>
        <v>0</v>
      </c>
      <c r="K115" s="437">
        <f t="shared" ref="K115:K117" si="52">J115*H115</f>
        <v>0</v>
      </c>
      <c r="L115" s="429"/>
      <c r="M115" s="343"/>
      <c r="N115" s="343"/>
      <c r="O115" s="343"/>
      <c r="P115" s="343"/>
      <c r="Q115" s="343"/>
      <c r="R115" s="343"/>
      <c r="S115" s="343"/>
      <c r="T115" s="343"/>
      <c r="U115" s="343"/>
      <c r="V115" s="343"/>
      <c r="W115" s="343"/>
    </row>
    <row r="116" spans="1:23" x14ac:dyDescent="0.2">
      <c r="A116" s="352">
        <f>IF(F116&lt;&gt;"",1+MAX($A$6:A115),"")</f>
        <v>89</v>
      </c>
      <c r="B116" s="367" t="s">
        <v>515</v>
      </c>
      <c r="C116" s="364"/>
      <c r="D116" s="368"/>
      <c r="E116" s="369" t="s">
        <v>609</v>
      </c>
      <c r="F116" s="128">
        <v>129.66</v>
      </c>
      <c r="G116" s="436">
        <v>0.1</v>
      </c>
      <c r="H116" s="140">
        <f>F116*(1+G116)</f>
        <v>142.626</v>
      </c>
      <c r="I116" s="141" t="s">
        <v>15</v>
      </c>
      <c r="J116" s="817">
        <v>0</v>
      </c>
      <c r="K116" s="437">
        <f t="shared" si="52"/>
        <v>0</v>
      </c>
      <c r="L116" s="429"/>
      <c r="M116" s="343"/>
      <c r="N116" s="376"/>
      <c r="O116" s="343"/>
      <c r="P116" s="343"/>
      <c r="Q116" s="343"/>
      <c r="R116" s="343"/>
      <c r="S116" s="343"/>
      <c r="T116" s="343"/>
      <c r="U116" s="343"/>
      <c r="V116" s="343"/>
      <c r="W116" s="343"/>
    </row>
    <row r="117" spans="1:23" x14ac:dyDescent="0.2">
      <c r="A117" s="352">
        <f>IF(F117&lt;&gt;"",1+MAX($A$6:A116),"")</f>
        <v>90</v>
      </c>
      <c r="B117" s="367" t="s">
        <v>515</v>
      </c>
      <c r="C117" s="364"/>
      <c r="D117" s="368"/>
      <c r="E117" s="369" t="s">
        <v>610</v>
      </c>
      <c r="F117" s="128">
        <v>279.66000000000003</v>
      </c>
      <c r="G117" s="436">
        <v>0.1</v>
      </c>
      <c r="H117" s="140">
        <f>F117*(1+G117)</f>
        <v>307.62600000000003</v>
      </c>
      <c r="I117" s="141" t="s">
        <v>15</v>
      </c>
      <c r="J117" s="817">
        <v>0</v>
      </c>
      <c r="K117" s="437">
        <f t="shared" si="52"/>
        <v>0</v>
      </c>
      <c r="L117" s="429"/>
      <c r="M117" s="343"/>
      <c r="N117" s="343"/>
      <c r="O117" s="343"/>
      <c r="P117" s="343"/>
      <c r="Q117" s="343"/>
      <c r="R117" s="343"/>
      <c r="S117" s="343"/>
      <c r="T117" s="343"/>
      <c r="U117" s="343"/>
      <c r="V117" s="343"/>
      <c r="W117" s="343"/>
    </row>
    <row r="118" spans="1:23" x14ac:dyDescent="0.2">
      <c r="A118" s="352" t="str">
        <f>IF(F118&lt;&gt;"",1+MAX($A$6:A117),"")</f>
        <v/>
      </c>
      <c r="B118" s="141"/>
      <c r="C118" s="364"/>
      <c r="D118" s="370"/>
      <c r="E118" s="371"/>
      <c r="F118" s="430"/>
      <c r="G118" s="431"/>
      <c r="H118" s="430"/>
      <c r="I118" s="432"/>
      <c r="J118" s="134"/>
      <c r="K118" s="433"/>
      <c r="L118" s="434"/>
      <c r="M118" s="343"/>
      <c r="N118" s="343"/>
      <c r="O118" s="343"/>
      <c r="P118" s="343"/>
      <c r="Q118" s="343"/>
      <c r="R118" s="343"/>
      <c r="S118" s="343"/>
      <c r="T118" s="343"/>
      <c r="U118" s="343"/>
      <c r="V118" s="343"/>
      <c r="W118" s="343"/>
    </row>
    <row r="119" spans="1:23" x14ac:dyDescent="0.2">
      <c r="A119" s="352">
        <f>IF(F119&lt;&gt;"",1+MAX($A$6:A118),"")</f>
        <v>91</v>
      </c>
      <c r="B119" s="367" t="s">
        <v>515</v>
      </c>
      <c r="C119" s="364"/>
      <c r="D119" s="368"/>
      <c r="E119" s="369" t="s">
        <v>611</v>
      </c>
      <c r="F119" s="128">
        <v>33.409999999999997</v>
      </c>
      <c r="G119" s="436">
        <v>0.1</v>
      </c>
      <c r="H119" s="140">
        <f>F119*(1+G119)</f>
        <v>36.750999999999998</v>
      </c>
      <c r="I119" s="141" t="s">
        <v>15</v>
      </c>
      <c r="J119" s="438">
        <f t="shared" ref="J119" si="53">J$117</f>
        <v>0</v>
      </c>
      <c r="K119" s="437">
        <f>J119*H119</f>
        <v>0</v>
      </c>
      <c r="L119" s="429"/>
      <c r="M119" s="343"/>
      <c r="N119" s="376"/>
      <c r="O119" s="343"/>
      <c r="P119" s="343"/>
      <c r="Q119" s="343"/>
      <c r="R119" s="343"/>
      <c r="S119" s="343"/>
      <c r="T119" s="343"/>
      <c r="U119" s="343"/>
      <c r="V119" s="343"/>
      <c r="W119" s="343"/>
    </row>
    <row r="120" spans="1:23" x14ac:dyDescent="0.2">
      <c r="A120" s="352" t="str">
        <f>IF(F120&lt;&gt;"",1+MAX($A$6:A119),"")</f>
        <v/>
      </c>
      <c r="B120" s="141"/>
      <c r="C120" s="364"/>
      <c r="D120" s="370"/>
      <c r="E120" s="371"/>
      <c r="F120" s="430"/>
      <c r="G120" s="431"/>
      <c r="H120" s="430"/>
      <c r="I120" s="432"/>
      <c r="J120" s="134"/>
      <c r="K120" s="433"/>
      <c r="L120" s="434"/>
      <c r="M120" s="343"/>
      <c r="N120" s="343"/>
      <c r="O120" s="343"/>
      <c r="P120" s="343"/>
      <c r="Q120" s="343"/>
      <c r="R120" s="343"/>
      <c r="S120" s="343"/>
      <c r="T120" s="343"/>
      <c r="U120" s="343"/>
      <c r="V120" s="343"/>
      <c r="W120" s="343"/>
    </row>
    <row r="121" spans="1:23" x14ac:dyDescent="0.2">
      <c r="A121" s="352">
        <f>IF(F121&lt;&gt;"",1+MAX($A$6:A120),"")</f>
        <v>92</v>
      </c>
      <c r="B121" s="367" t="s">
        <v>515</v>
      </c>
      <c r="C121" s="364"/>
      <c r="D121" s="368"/>
      <c r="E121" s="369" t="s">
        <v>612</v>
      </c>
      <c r="F121" s="128">
        <f>164.19+797.4</f>
        <v>961.58999999999992</v>
      </c>
      <c r="G121" s="436">
        <v>0.1</v>
      </c>
      <c r="H121" s="140">
        <f>F121*(1+G121)</f>
        <v>1057.749</v>
      </c>
      <c r="I121" s="141" t="s">
        <v>15</v>
      </c>
      <c r="J121" s="817">
        <v>0</v>
      </c>
      <c r="K121" s="437">
        <f>J121*H121</f>
        <v>0</v>
      </c>
      <c r="L121" s="429"/>
      <c r="M121" s="343"/>
      <c r="N121" s="343"/>
      <c r="O121" s="343"/>
      <c r="P121" s="343"/>
      <c r="Q121" s="343"/>
      <c r="R121" s="343"/>
      <c r="S121" s="343"/>
      <c r="T121" s="343"/>
      <c r="U121" s="343"/>
      <c r="V121" s="343"/>
      <c r="W121" s="343"/>
    </row>
    <row r="122" spans="1:23" x14ac:dyDescent="0.2">
      <c r="A122" s="352" t="str">
        <f>IF(F122&lt;&gt;"",1+MAX($A$6:A121),"")</f>
        <v/>
      </c>
      <c r="B122" s="141"/>
      <c r="C122" s="364"/>
      <c r="D122" s="370"/>
      <c r="E122" s="371"/>
      <c r="F122" s="430"/>
      <c r="G122" s="431"/>
      <c r="H122" s="430"/>
      <c r="I122" s="432"/>
      <c r="J122" s="134"/>
      <c r="K122" s="433"/>
      <c r="L122" s="434"/>
      <c r="M122" s="343"/>
      <c r="N122" s="343"/>
      <c r="O122" s="343"/>
      <c r="P122" s="343"/>
      <c r="Q122" s="343"/>
      <c r="R122" s="343"/>
      <c r="S122" s="343"/>
      <c r="T122" s="343"/>
      <c r="U122" s="343"/>
      <c r="V122" s="343"/>
      <c r="W122" s="343"/>
    </row>
    <row r="123" spans="1:23" x14ac:dyDescent="0.2">
      <c r="A123" s="352">
        <f>IF(F123&lt;&gt;"",1+MAX($A$6:A122),"")</f>
        <v>93</v>
      </c>
      <c r="B123" s="367" t="s">
        <v>515</v>
      </c>
      <c r="C123" s="364"/>
      <c r="D123" s="368"/>
      <c r="E123" s="369" t="s">
        <v>613</v>
      </c>
      <c r="F123" s="128">
        <v>7.67</v>
      </c>
      <c r="G123" s="436">
        <v>0.1</v>
      </c>
      <c r="H123" s="140">
        <f>F123*(1+G123)</f>
        <v>8.4370000000000012</v>
      </c>
      <c r="I123" s="141" t="s">
        <v>15</v>
      </c>
      <c r="J123" s="438">
        <f t="shared" ref="J123" si="54">J$112</f>
        <v>0</v>
      </c>
      <c r="K123" s="437">
        <f t="shared" ref="K123:K124" si="55">J123*H123</f>
        <v>0</v>
      </c>
      <c r="L123" s="429"/>
      <c r="M123" s="343"/>
      <c r="N123" s="343"/>
      <c r="O123" s="343"/>
      <c r="P123" s="343"/>
      <c r="Q123" s="343"/>
      <c r="R123" s="343"/>
      <c r="S123" s="343"/>
      <c r="T123" s="343"/>
      <c r="U123" s="343"/>
      <c r="V123" s="343"/>
      <c r="W123" s="343"/>
    </row>
    <row r="124" spans="1:23" x14ac:dyDescent="0.2">
      <c r="A124" s="352">
        <f>IF(F124&lt;&gt;"",1+MAX($A$6:A123),"")</f>
        <v>94</v>
      </c>
      <c r="B124" s="367" t="s">
        <v>515</v>
      </c>
      <c r="C124" s="364"/>
      <c r="D124" s="368"/>
      <c r="E124" s="369" t="s">
        <v>614</v>
      </c>
      <c r="F124" s="128">
        <v>30.51</v>
      </c>
      <c r="G124" s="436">
        <v>0.1</v>
      </c>
      <c r="H124" s="140">
        <f>F124*(1+G124)</f>
        <v>33.561000000000007</v>
      </c>
      <c r="I124" s="141" t="s">
        <v>15</v>
      </c>
      <c r="J124" s="438">
        <f t="shared" ref="J124" si="56">J$113</f>
        <v>0</v>
      </c>
      <c r="K124" s="437">
        <f t="shared" si="55"/>
        <v>0</v>
      </c>
      <c r="L124" s="429"/>
      <c r="M124" s="343"/>
      <c r="N124" s="376"/>
      <c r="O124" s="343"/>
      <c r="P124" s="343"/>
      <c r="Q124" s="343"/>
      <c r="R124" s="343"/>
      <c r="S124" s="343"/>
      <c r="T124" s="343"/>
      <c r="U124" s="343"/>
      <c r="V124" s="343"/>
      <c r="W124" s="343"/>
    </row>
    <row r="125" spans="1:23" x14ac:dyDescent="0.2">
      <c r="A125" s="352" t="str">
        <f>IF(F125&lt;&gt;"",1+MAX($A$6:A124),"")</f>
        <v/>
      </c>
      <c r="B125" s="141"/>
      <c r="C125" s="364"/>
      <c r="D125" s="370"/>
      <c r="E125" s="371"/>
      <c r="F125" s="430"/>
      <c r="G125" s="431"/>
      <c r="H125" s="430"/>
      <c r="I125" s="432"/>
      <c r="J125" s="134"/>
      <c r="K125" s="433"/>
      <c r="L125" s="434"/>
      <c r="M125" s="343"/>
      <c r="N125" s="343"/>
      <c r="O125" s="343"/>
      <c r="P125" s="343"/>
      <c r="Q125" s="343"/>
      <c r="R125" s="343"/>
      <c r="S125" s="343"/>
      <c r="T125" s="343"/>
      <c r="U125" s="343"/>
      <c r="V125" s="343"/>
      <c r="W125" s="343"/>
    </row>
    <row r="126" spans="1:23" x14ac:dyDescent="0.2">
      <c r="A126" s="352">
        <f>IF(F126&lt;&gt;"",1+MAX($A$6:A125),"")</f>
        <v>95</v>
      </c>
      <c r="B126" s="367" t="s">
        <v>515</v>
      </c>
      <c r="C126" s="364"/>
      <c r="D126" s="368"/>
      <c r="E126" s="369" t="s">
        <v>615</v>
      </c>
      <c r="F126" s="128">
        <f>162.31+444.96</f>
        <v>607.27</v>
      </c>
      <c r="G126" s="436">
        <v>0.1</v>
      </c>
      <c r="H126" s="140">
        <f>F126*(1+G126)</f>
        <v>667.99700000000007</v>
      </c>
      <c r="I126" s="141" t="s">
        <v>15</v>
      </c>
      <c r="J126" s="438">
        <f t="shared" ref="J126" si="57">J$112</f>
        <v>0</v>
      </c>
      <c r="K126" s="437">
        <f t="shared" ref="K126:K129" si="58">J126*H126</f>
        <v>0</v>
      </c>
      <c r="L126" s="429"/>
      <c r="M126" s="343"/>
      <c r="N126" s="343"/>
      <c r="O126" s="343"/>
      <c r="P126" s="343"/>
      <c r="Q126" s="343"/>
      <c r="R126" s="343"/>
      <c r="S126" s="343"/>
      <c r="T126" s="343"/>
      <c r="U126" s="343"/>
      <c r="V126" s="343"/>
      <c r="W126" s="343"/>
    </row>
    <row r="127" spans="1:23" x14ac:dyDescent="0.2">
      <c r="A127" s="352">
        <f>IF(F127&lt;&gt;"",1+MAX($A$6:A126),"")</f>
        <v>96</v>
      </c>
      <c r="B127" s="367" t="s">
        <v>515</v>
      </c>
      <c r="C127" s="364"/>
      <c r="D127" s="368"/>
      <c r="E127" s="369" t="s">
        <v>616</v>
      </c>
      <c r="F127" s="128">
        <f>803.89+204.75</f>
        <v>1008.64</v>
      </c>
      <c r="G127" s="436">
        <v>0.1</v>
      </c>
      <c r="H127" s="140">
        <f>F127*(1+G127)</f>
        <v>1109.5040000000001</v>
      </c>
      <c r="I127" s="141" t="s">
        <v>15</v>
      </c>
      <c r="J127" s="438">
        <f t="shared" ref="J127" si="59">J$113</f>
        <v>0</v>
      </c>
      <c r="K127" s="437">
        <f t="shared" si="58"/>
        <v>0</v>
      </c>
      <c r="L127" s="429"/>
      <c r="M127" s="343"/>
      <c r="N127" s="343"/>
      <c r="O127" s="343"/>
      <c r="P127" s="343"/>
      <c r="Q127" s="343"/>
      <c r="R127" s="343"/>
      <c r="S127" s="343"/>
      <c r="T127" s="343"/>
      <c r="U127" s="343"/>
      <c r="V127" s="343"/>
      <c r="W127" s="343"/>
    </row>
    <row r="128" spans="1:23" x14ac:dyDescent="0.2">
      <c r="A128" s="352">
        <f>IF(F128&lt;&gt;"",1+MAX($A$6:A127),"")</f>
        <v>97</v>
      </c>
      <c r="B128" s="367" t="s">
        <v>515</v>
      </c>
      <c r="C128" s="364"/>
      <c r="D128" s="368"/>
      <c r="E128" s="369" t="s">
        <v>617</v>
      </c>
      <c r="F128" s="128">
        <v>1369.79</v>
      </c>
      <c r="G128" s="436">
        <v>0.1</v>
      </c>
      <c r="H128" s="140">
        <f>F128*(1+G128)</f>
        <v>1506.769</v>
      </c>
      <c r="I128" s="141" t="s">
        <v>15</v>
      </c>
      <c r="J128" s="438">
        <f t="shared" ref="J128" si="60">J$116</f>
        <v>0</v>
      </c>
      <c r="K128" s="437">
        <f t="shared" si="58"/>
        <v>0</v>
      </c>
      <c r="L128" s="429"/>
      <c r="M128" s="343"/>
      <c r="N128" s="376"/>
      <c r="O128" s="343"/>
      <c r="P128" s="343"/>
      <c r="Q128" s="343"/>
      <c r="R128" s="343"/>
      <c r="S128" s="343"/>
      <c r="T128" s="343"/>
      <c r="U128" s="343"/>
      <c r="V128" s="343"/>
      <c r="W128" s="343"/>
    </row>
    <row r="129" spans="1:23" x14ac:dyDescent="0.2">
      <c r="A129" s="352">
        <f>IF(F129&lt;&gt;"",1+MAX($A$6:A128),"")</f>
        <v>98</v>
      </c>
      <c r="B129" s="367" t="s">
        <v>515</v>
      </c>
      <c r="C129" s="364"/>
      <c r="D129" s="439"/>
      <c r="E129" s="369" t="s">
        <v>618</v>
      </c>
      <c r="F129" s="128">
        <v>545.05999999999995</v>
      </c>
      <c r="G129" s="436">
        <v>0.1</v>
      </c>
      <c r="H129" s="140">
        <f>F129*(1+G129)</f>
        <v>599.56600000000003</v>
      </c>
      <c r="I129" s="141" t="s">
        <v>15</v>
      </c>
      <c r="J129" s="438">
        <f t="shared" ref="J129" si="61">J$117</f>
        <v>0</v>
      </c>
      <c r="K129" s="437">
        <f t="shared" si="58"/>
        <v>0</v>
      </c>
      <c r="L129" s="429"/>
      <c r="M129" s="343"/>
      <c r="N129" s="343"/>
      <c r="O129" s="343"/>
      <c r="P129" s="343"/>
      <c r="Q129" s="343"/>
      <c r="R129" s="343"/>
      <c r="S129" s="343"/>
      <c r="T129" s="343"/>
      <c r="U129" s="343"/>
      <c r="V129" s="343"/>
      <c r="W129" s="343"/>
    </row>
    <row r="130" spans="1:23" x14ac:dyDescent="0.2">
      <c r="A130" s="352" t="str">
        <f>IF(F130&lt;&gt;"",1+MAX($A$6:A129),"")</f>
        <v/>
      </c>
      <c r="B130" s="141"/>
      <c r="C130" s="364"/>
      <c r="D130" s="368"/>
      <c r="E130" s="371"/>
      <c r="F130" s="430"/>
      <c r="G130" s="431"/>
      <c r="H130" s="430"/>
      <c r="I130" s="432"/>
      <c r="J130" s="134"/>
      <c r="K130" s="433"/>
      <c r="L130" s="434"/>
      <c r="M130" s="343"/>
      <c r="N130" s="343"/>
      <c r="O130" s="343"/>
      <c r="P130" s="343"/>
      <c r="Q130" s="343"/>
      <c r="R130" s="343"/>
      <c r="S130" s="343"/>
      <c r="T130" s="343"/>
      <c r="U130" s="343"/>
      <c r="V130" s="343"/>
      <c r="W130" s="343"/>
    </row>
    <row r="131" spans="1:23" x14ac:dyDescent="0.2">
      <c r="A131" s="352">
        <f>IF(F131&lt;&gt;"",1+MAX($A$6:A130),"")</f>
        <v>99</v>
      </c>
      <c r="B131" s="367" t="s">
        <v>515</v>
      </c>
      <c r="C131" s="364"/>
      <c r="D131" s="368"/>
      <c r="E131" s="369" t="s">
        <v>619</v>
      </c>
      <c r="F131" s="128">
        <f>763.2+126.58</f>
        <v>889.78000000000009</v>
      </c>
      <c r="G131" s="436">
        <v>0.1</v>
      </c>
      <c r="H131" s="140">
        <f>F131*(1+G131)</f>
        <v>978.75800000000015</v>
      </c>
      <c r="I131" s="141" t="s">
        <v>15</v>
      </c>
      <c r="J131" s="438">
        <f t="shared" ref="J131" si="62">J$112</f>
        <v>0</v>
      </c>
      <c r="K131" s="437">
        <f t="shared" ref="K131:K134" si="63">J131*H131</f>
        <v>0</v>
      </c>
      <c r="L131" s="429"/>
      <c r="M131" s="343"/>
      <c r="N131" s="376"/>
      <c r="O131" s="343"/>
      <c r="P131" s="343"/>
      <c r="Q131" s="343"/>
      <c r="R131" s="343"/>
      <c r="S131" s="343"/>
      <c r="T131" s="343"/>
      <c r="U131" s="343"/>
      <c r="V131" s="343"/>
      <c r="W131" s="343"/>
    </row>
    <row r="132" spans="1:23" x14ac:dyDescent="0.2">
      <c r="A132" s="352">
        <f>IF(F132&lt;&gt;"",1+MAX($A$6:A131),"")</f>
        <v>100</v>
      </c>
      <c r="B132" s="367" t="s">
        <v>515</v>
      </c>
      <c r="C132" s="364"/>
      <c r="D132" s="368"/>
      <c r="E132" s="369" t="s">
        <v>620</v>
      </c>
      <c r="F132" s="128">
        <v>204.53</v>
      </c>
      <c r="G132" s="436">
        <v>0.1</v>
      </c>
      <c r="H132" s="140">
        <f>F132*(1+G132)</f>
        <v>224.98300000000003</v>
      </c>
      <c r="I132" s="141" t="s">
        <v>15</v>
      </c>
      <c r="J132" s="438">
        <f t="shared" ref="J132" si="64">J$113</f>
        <v>0</v>
      </c>
      <c r="K132" s="437">
        <f t="shared" si="63"/>
        <v>0</v>
      </c>
      <c r="L132" s="429"/>
      <c r="M132" s="343"/>
      <c r="N132" s="376"/>
      <c r="O132" s="343"/>
      <c r="P132" s="343"/>
      <c r="Q132" s="343"/>
      <c r="R132" s="343"/>
      <c r="S132" s="343"/>
      <c r="T132" s="343"/>
      <c r="U132" s="343"/>
      <c r="V132" s="343"/>
      <c r="W132" s="343"/>
    </row>
    <row r="133" spans="1:23" x14ac:dyDescent="0.2">
      <c r="A133" s="352">
        <f>IF(F133&lt;&gt;"",1+MAX($A$6:A132),"")</f>
        <v>101</v>
      </c>
      <c r="B133" s="367" t="s">
        <v>515</v>
      </c>
      <c r="C133" s="364"/>
      <c r="D133" s="368"/>
      <c r="E133" s="369" t="s">
        <v>621</v>
      </c>
      <c r="F133" s="128">
        <v>33.950000000000003</v>
      </c>
      <c r="G133" s="436">
        <v>0.1</v>
      </c>
      <c r="H133" s="140">
        <f>F133*(1+G133)</f>
        <v>37.345000000000006</v>
      </c>
      <c r="I133" s="141" t="s">
        <v>15</v>
      </c>
      <c r="J133" s="438">
        <f t="shared" ref="J133" si="65">J$116</f>
        <v>0</v>
      </c>
      <c r="K133" s="437">
        <f t="shared" si="63"/>
        <v>0</v>
      </c>
      <c r="L133" s="429"/>
      <c r="M133" s="343"/>
      <c r="N133" s="376"/>
      <c r="O133" s="343"/>
      <c r="P133" s="343"/>
      <c r="Q133" s="343"/>
      <c r="R133" s="343"/>
      <c r="S133" s="343"/>
      <c r="T133" s="343"/>
      <c r="U133" s="343"/>
      <c r="V133" s="343"/>
      <c r="W133" s="343"/>
    </row>
    <row r="134" spans="1:23" x14ac:dyDescent="0.2">
      <c r="A134" s="352">
        <f>IF(F134&lt;&gt;"",1+MAX($A$6:A133),"")</f>
        <v>102</v>
      </c>
      <c r="B134" s="367" t="s">
        <v>515</v>
      </c>
      <c r="C134" s="364"/>
      <c r="D134" s="368"/>
      <c r="E134" s="369" t="s">
        <v>622</v>
      </c>
      <c r="F134" s="128">
        <v>116.37</v>
      </c>
      <c r="G134" s="436">
        <v>0.1</v>
      </c>
      <c r="H134" s="140">
        <f>F134*(1+G134)</f>
        <v>128.00700000000001</v>
      </c>
      <c r="I134" s="141" t="s">
        <v>15</v>
      </c>
      <c r="J134" s="438">
        <f t="shared" ref="J134" si="66">J$117</f>
        <v>0</v>
      </c>
      <c r="K134" s="437">
        <f t="shared" si="63"/>
        <v>0</v>
      </c>
      <c r="L134" s="429"/>
      <c r="M134" s="343"/>
      <c r="N134" s="376"/>
      <c r="O134" s="343"/>
      <c r="P134" s="343"/>
      <c r="Q134" s="343"/>
      <c r="R134" s="343"/>
      <c r="S134" s="343"/>
      <c r="T134" s="343"/>
      <c r="U134" s="343"/>
      <c r="V134" s="343"/>
      <c r="W134" s="343"/>
    </row>
    <row r="135" spans="1:23" ht="16.5" thickBot="1" x14ac:dyDescent="0.25">
      <c r="A135" s="352" t="str">
        <f>IF(F135&lt;&gt;"",1+MAX($A$6:A134),"")</f>
        <v/>
      </c>
      <c r="B135" s="141"/>
      <c r="C135" s="364"/>
      <c r="D135" s="370"/>
      <c r="E135" s="371"/>
      <c r="F135" s="430"/>
      <c r="G135" s="431"/>
      <c r="H135" s="430"/>
      <c r="I135" s="432"/>
      <c r="J135" s="134"/>
      <c r="K135" s="433"/>
      <c r="L135" s="434"/>
      <c r="M135" s="343"/>
      <c r="N135" s="343"/>
      <c r="O135" s="343"/>
      <c r="P135" s="343"/>
      <c r="Q135" s="343"/>
      <c r="R135" s="343"/>
      <c r="S135" s="343"/>
      <c r="T135" s="343"/>
      <c r="U135" s="343"/>
      <c r="V135" s="343"/>
      <c r="W135" s="343"/>
    </row>
    <row r="136" spans="1:23" ht="16.5" customHeight="1" thickBot="1" x14ac:dyDescent="0.25">
      <c r="A136" s="352" t="str">
        <f>IF(F136&lt;&gt;"",1+MAX($A$6:A135),"")</f>
        <v/>
      </c>
      <c r="B136" s="123"/>
      <c r="C136" s="364"/>
      <c r="D136" s="365"/>
      <c r="E136" s="366" t="s">
        <v>539</v>
      </c>
      <c r="F136" s="435"/>
      <c r="G136" s="431"/>
      <c r="H136" s="430"/>
      <c r="I136" s="432"/>
      <c r="J136" s="134"/>
      <c r="K136" s="428"/>
      <c r="L136" s="429"/>
      <c r="M136" s="345"/>
      <c r="N136" s="345"/>
      <c r="O136" s="345"/>
      <c r="P136" s="345"/>
      <c r="Q136" s="345"/>
      <c r="R136" s="343"/>
      <c r="S136" s="343"/>
      <c r="T136" s="343"/>
      <c r="U136" s="343"/>
      <c r="V136" s="343"/>
      <c r="W136" s="343"/>
    </row>
    <row r="137" spans="1:23" ht="31.5" x14ac:dyDescent="0.2">
      <c r="A137" s="352">
        <f>IF(F137&lt;&gt;"",1+MAX($A$6:A136),"")</f>
        <v>103</v>
      </c>
      <c r="B137" s="367" t="s">
        <v>623</v>
      </c>
      <c r="C137" s="364"/>
      <c r="D137" s="368"/>
      <c r="E137" s="369" t="s">
        <v>624</v>
      </c>
      <c r="F137" s="128">
        <v>6</v>
      </c>
      <c r="G137" s="436">
        <v>0.1</v>
      </c>
      <c r="H137" s="140">
        <f t="shared" ref="H137:H138" si="67">F137*(1+G137)</f>
        <v>6.6000000000000005</v>
      </c>
      <c r="I137" s="141" t="s">
        <v>15</v>
      </c>
      <c r="J137" s="438">
        <f t="shared" ref="J137" si="68">J$112</f>
        <v>0</v>
      </c>
      <c r="K137" s="437">
        <f t="shared" ref="K137:K138" si="69">J137*H137</f>
        <v>0</v>
      </c>
      <c r="L137" s="429"/>
      <c r="M137" s="343"/>
      <c r="N137" s="343"/>
      <c r="O137" s="343"/>
      <c r="P137" s="343"/>
      <c r="Q137" s="343"/>
      <c r="R137" s="343"/>
      <c r="S137" s="343"/>
      <c r="T137" s="343"/>
      <c r="U137" s="343"/>
      <c r="V137" s="343"/>
      <c r="W137" s="343"/>
    </row>
    <row r="138" spans="1:23" ht="31.5" x14ac:dyDescent="0.2">
      <c r="A138" s="352">
        <f>IF(F138&lt;&gt;"",1+MAX($A$6:A137),"")</f>
        <v>104</v>
      </c>
      <c r="B138" s="367" t="s">
        <v>623</v>
      </c>
      <c r="C138" s="364"/>
      <c r="D138" s="368"/>
      <c r="E138" s="369" t="s">
        <v>625</v>
      </c>
      <c r="F138" s="128">
        <v>6</v>
      </c>
      <c r="G138" s="436">
        <v>0.1</v>
      </c>
      <c r="H138" s="140">
        <f t="shared" si="67"/>
        <v>6.6000000000000005</v>
      </c>
      <c r="I138" s="141" t="s">
        <v>15</v>
      </c>
      <c r="J138" s="438">
        <f t="shared" ref="J138" si="70">J$113</f>
        <v>0</v>
      </c>
      <c r="K138" s="437">
        <f t="shared" si="69"/>
        <v>0</v>
      </c>
      <c r="L138" s="429"/>
      <c r="M138" s="343"/>
      <c r="N138" s="343"/>
      <c r="O138" s="343"/>
      <c r="P138" s="343"/>
      <c r="Q138" s="343"/>
      <c r="R138" s="343"/>
      <c r="S138" s="343"/>
      <c r="T138" s="343"/>
      <c r="U138" s="343"/>
      <c r="V138" s="343"/>
      <c r="W138" s="343"/>
    </row>
    <row r="139" spans="1:23" x14ac:dyDescent="0.2">
      <c r="A139" s="352" t="str">
        <f>IF(F139&lt;&gt;"",1+MAX($A$6:A138),"")</f>
        <v/>
      </c>
      <c r="B139" s="141"/>
      <c r="C139" s="364"/>
      <c r="D139" s="370"/>
      <c r="E139" s="371"/>
      <c r="F139" s="430"/>
      <c r="G139" s="431"/>
      <c r="H139" s="430"/>
      <c r="I139" s="432"/>
      <c r="J139" s="134"/>
      <c r="K139" s="433"/>
      <c r="L139" s="434"/>
      <c r="M139" s="343"/>
      <c r="N139" s="343"/>
      <c r="O139" s="343"/>
      <c r="P139" s="343"/>
      <c r="Q139" s="343"/>
      <c r="R139" s="343"/>
      <c r="S139" s="343"/>
      <c r="T139" s="343"/>
      <c r="U139" s="343"/>
      <c r="V139" s="343"/>
      <c r="W139" s="343"/>
    </row>
    <row r="140" spans="1:23" ht="31.5" x14ac:dyDescent="0.2">
      <c r="A140" s="352">
        <f>IF(F140&lt;&gt;"",1+MAX($A$6:A139),"")</f>
        <v>105</v>
      </c>
      <c r="B140" s="367" t="s">
        <v>623</v>
      </c>
      <c r="C140" s="364"/>
      <c r="D140" s="368"/>
      <c r="E140" s="369" t="s">
        <v>626</v>
      </c>
      <c r="F140" s="128">
        <v>9</v>
      </c>
      <c r="G140" s="436">
        <v>0.1</v>
      </c>
      <c r="H140" s="140">
        <f t="shared" ref="H140:H142" si="71">F140*(1+G140)</f>
        <v>9.9</v>
      </c>
      <c r="I140" s="141" t="s">
        <v>15</v>
      </c>
      <c r="J140" s="438">
        <f t="shared" ref="J140" si="72">J$112</f>
        <v>0</v>
      </c>
      <c r="K140" s="437">
        <f t="shared" ref="K140:K142" si="73">J140*H140</f>
        <v>0</v>
      </c>
      <c r="L140" s="429"/>
      <c r="M140" s="343"/>
      <c r="N140" s="343"/>
      <c r="O140" s="343"/>
      <c r="P140" s="343"/>
      <c r="Q140" s="343"/>
      <c r="R140" s="343"/>
      <c r="S140" s="343"/>
      <c r="T140" s="343"/>
      <c r="U140" s="343"/>
      <c r="V140" s="343"/>
      <c r="W140" s="343"/>
    </row>
    <row r="141" spans="1:23" ht="31.5" x14ac:dyDescent="0.2">
      <c r="A141" s="352">
        <f>IF(F141&lt;&gt;"",1+MAX($A$6:A140),"")</f>
        <v>106</v>
      </c>
      <c r="B141" s="367" t="s">
        <v>623</v>
      </c>
      <c r="C141" s="364"/>
      <c r="D141" s="368"/>
      <c r="E141" s="369" t="s">
        <v>627</v>
      </c>
      <c r="F141" s="128">
        <v>9</v>
      </c>
      <c r="G141" s="436">
        <v>0.1</v>
      </c>
      <c r="H141" s="140">
        <f t="shared" si="71"/>
        <v>9.9</v>
      </c>
      <c r="I141" s="141" t="s">
        <v>15</v>
      </c>
      <c r="J141" s="438">
        <f t="shared" ref="J141" si="74">J$116</f>
        <v>0</v>
      </c>
      <c r="K141" s="437">
        <f t="shared" si="73"/>
        <v>0</v>
      </c>
      <c r="L141" s="429"/>
      <c r="M141" s="343"/>
      <c r="N141" s="343"/>
      <c r="O141" s="343"/>
      <c r="P141" s="343"/>
      <c r="Q141" s="343"/>
      <c r="R141" s="343"/>
      <c r="S141" s="343"/>
      <c r="T141" s="343"/>
      <c r="U141" s="343"/>
      <c r="V141" s="343"/>
      <c r="W141" s="343"/>
    </row>
    <row r="142" spans="1:23" ht="31.5" x14ac:dyDescent="0.2">
      <c r="A142" s="352">
        <f>IF(F142&lt;&gt;"",1+MAX($A$6:A141),"")</f>
        <v>107</v>
      </c>
      <c r="B142" s="367" t="s">
        <v>623</v>
      </c>
      <c r="C142" s="364"/>
      <c r="D142" s="368"/>
      <c r="E142" s="369" t="s">
        <v>628</v>
      </c>
      <c r="F142" s="128">
        <v>24</v>
      </c>
      <c r="G142" s="436">
        <v>0.1</v>
      </c>
      <c r="H142" s="140">
        <f t="shared" si="71"/>
        <v>26.400000000000002</v>
      </c>
      <c r="I142" s="141" t="s">
        <v>15</v>
      </c>
      <c r="J142" s="438">
        <f t="shared" ref="J142" si="75">J$117</f>
        <v>0</v>
      </c>
      <c r="K142" s="437">
        <f t="shared" si="73"/>
        <v>0</v>
      </c>
      <c r="L142" s="429"/>
      <c r="M142" s="343"/>
      <c r="N142" s="343"/>
      <c r="O142" s="343"/>
      <c r="P142" s="343"/>
      <c r="Q142" s="343"/>
      <c r="R142" s="343"/>
      <c r="S142" s="343"/>
      <c r="T142" s="343"/>
      <c r="U142" s="343"/>
      <c r="V142" s="343"/>
      <c r="W142" s="343"/>
    </row>
    <row r="143" spans="1:23" x14ac:dyDescent="0.2">
      <c r="A143" s="352" t="str">
        <f>IF(F143&lt;&gt;"",1+MAX($A$6:A142),"")</f>
        <v/>
      </c>
      <c r="B143" s="141"/>
      <c r="C143" s="364"/>
      <c r="D143" s="370"/>
      <c r="E143" s="371"/>
      <c r="F143" s="430"/>
      <c r="G143" s="431"/>
      <c r="H143" s="430"/>
      <c r="I143" s="432"/>
      <c r="J143" s="134"/>
      <c r="K143" s="433"/>
      <c r="L143" s="434"/>
      <c r="M143" s="343"/>
      <c r="N143" s="343"/>
      <c r="O143" s="343"/>
      <c r="P143" s="343"/>
      <c r="Q143" s="343"/>
      <c r="R143" s="343"/>
      <c r="S143" s="343"/>
      <c r="T143" s="343"/>
      <c r="U143" s="343"/>
      <c r="V143" s="343"/>
      <c r="W143" s="343"/>
    </row>
    <row r="144" spans="1:23" ht="31.5" x14ac:dyDescent="0.2">
      <c r="A144" s="352">
        <f>IF(F144&lt;&gt;"",1+MAX($A$6:A143),"")</f>
        <v>108</v>
      </c>
      <c r="B144" s="367" t="s">
        <v>623</v>
      </c>
      <c r="C144" s="364"/>
      <c r="D144" s="368"/>
      <c r="E144" s="369" t="s">
        <v>629</v>
      </c>
      <c r="F144" s="128">
        <v>9</v>
      </c>
      <c r="G144" s="436">
        <v>0.1</v>
      </c>
      <c r="H144" s="140">
        <f>F144*(1+G144)</f>
        <v>9.9</v>
      </c>
      <c r="I144" s="141" t="s">
        <v>15</v>
      </c>
      <c r="J144" s="438">
        <f t="shared" ref="J144" si="76">J$112</f>
        <v>0</v>
      </c>
      <c r="K144" s="437">
        <f t="shared" ref="K144:K146" si="77">J144*H144</f>
        <v>0</v>
      </c>
      <c r="L144" s="429"/>
      <c r="M144" s="343"/>
      <c r="N144" s="376"/>
      <c r="O144" s="343"/>
      <c r="P144" s="343"/>
      <c r="Q144" s="343"/>
      <c r="R144" s="343"/>
      <c r="S144" s="343"/>
      <c r="T144" s="343"/>
      <c r="U144" s="343"/>
      <c r="V144" s="343"/>
      <c r="W144" s="343"/>
    </row>
    <row r="145" spans="1:23" ht="31.5" x14ac:dyDescent="0.2">
      <c r="A145" s="352">
        <f>IF(F145&lt;&gt;"",1+MAX($A$6:A144),"")</f>
        <v>109</v>
      </c>
      <c r="B145" s="367" t="s">
        <v>623</v>
      </c>
      <c r="C145" s="364"/>
      <c r="D145" s="368"/>
      <c r="E145" s="369" t="s">
        <v>630</v>
      </c>
      <c r="F145" s="128">
        <v>3</v>
      </c>
      <c r="G145" s="436">
        <v>0.1</v>
      </c>
      <c r="H145" s="140">
        <f>F145*(1+G145)</f>
        <v>3.3000000000000003</v>
      </c>
      <c r="I145" s="141" t="s">
        <v>15</v>
      </c>
      <c r="J145" s="438">
        <f t="shared" ref="J145" si="78">J$116</f>
        <v>0</v>
      </c>
      <c r="K145" s="437">
        <f t="shared" si="77"/>
        <v>0</v>
      </c>
      <c r="L145" s="429"/>
      <c r="M145" s="343"/>
      <c r="N145" s="376"/>
      <c r="O145" s="343"/>
      <c r="P145" s="343"/>
      <c r="Q145" s="343"/>
      <c r="R145" s="343"/>
      <c r="S145" s="343"/>
      <c r="T145" s="343"/>
      <c r="U145" s="343"/>
      <c r="V145" s="343"/>
      <c r="W145" s="343"/>
    </row>
    <row r="146" spans="1:23" ht="31.5" x14ac:dyDescent="0.2">
      <c r="A146" s="352">
        <f>IF(F146&lt;&gt;"",1+MAX($A$6:A145),"")</f>
        <v>110</v>
      </c>
      <c r="B146" s="367" t="s">
        <v>623</v>
      </c>
      <c r="C146" s="364"/>
      <c r="D146" s="368"/>
      <c r="E146" s="369" t="s">
        <v>631</v>
      </c>
      <c r="F146" s="128">
        <v>6</v>
      </c>
      <c r="G146" s="436">
        <v>0.1</v>
      </c>
      <c r="H146" s="140">
        <f>F146*(1+G146)</f>
        <v>6.6000000000000005</v>
      </c>
      <c r="I146" s="141" t="s">
        <v>15</v>
      </c>
      <c r="J146" s="438">
        <f t="shared" ref="J146" si="79">J$117</f>
        <v>0</v>
      </c>
      <c r="K146" s="437">
        <f t="shared" si="77"/>
        <v>0</v>
      </c>
      <c r="L146" s="429"/>
      <c r="M146" s="343"/>
      <c r="N146" s="376"/>
      <c r="O146" s="343"/>
      <c r="P146" s="343"/>
      <c r="Q146" s="343"/>
      <c r="R146" s="343"/>
      <c r="S146" s="343"/>
      <c r="T146" s="343"/>
      <c r="U146" s="343"/>
      <c r="V146" s="343"/>
      <c r="W146" s="343"/>
    </row>
    <row r="147" spans="1:23" x14ac:dyDescent="0.2">
      <c r="A147" s="352" t="str">
        <f>IF(F147&lt;&gt;"",1+MAX($A$6:A146),"")</f>
        <v/>
      </c>
      <c r="B147" s="141"/>
      <c r="C147" s="364"/>
      <c r="D147" s="370"/>
      <c r="E147" s="371"/>
      <c r="F147" s="430"/>
      <c r="G147" s="431"/>
      <c r="H147" s="430"/>
      <c r="I147" s="432"/>
      <c r="J147" s="134"/>
      <c r="K147" s="433"/>
      <c r="L147" s="434"/>
      <c r="M147" s="343"/>
      <c r="N147" s="343"/>
      <c r="O147" s="343"/>
      <c r="P147" s="343"/>
      <c r="Q147" s="343"/>
      <c r="R147" s="343"/>
      <c r="S147" s="343"/>
      <c r="T147" s="343"/>
      <c r="U147" s="343"/>
      <c r="V147" s="343"/>
      <c r="W147" s="343"/>
    </row>
    <row r="148" spans="1:23" ht="31.5" x14ac:dyDescent="0.2">
      <c r="A148" s="352">
        <f>IF(F148&lt;&gt;"",1+MAX($A$6:A147),"")</f>
        <v>111</v>
      </c>
      <c r="B148" s="367" t="s">
        <v>623</v>
      </c>
      <c r="C148" s="364"/>
      <c r="D148" s="368"/>
      <c r="E148" s="369" t="s">
        <v>632</v>
      </c>
      <c r="F148" s="128">
        <v>425.5</v>
      </c>
      <c r="G148" s="436">
        <v>0.1</v>
      </c>
      <c r="H148" s="140">
        <f>F148*(1+G148)</f>
        <v>468.05</v>
      </c>
      <c r="I148" s="141" t="s">
        <v>15</v>
      </c>
      <c r="J148" s="438">
        <f t="shared" ref="J148" si="80">J$121</f>
        <v>0</v>
      </c>
      <c r="K148" s="437">
        <f>J148*H148</f>
        <v>0</v>
      </c>
      <c r="L148" s="429"/>
      <c r="M148" s="343"/>
      <c r="N148" s="343"/>
      <c r="O148" s="343"/>
      <c r="P148" s="343"/>
      <c r="Q148" s="343"/>
      <c r="R148" s="343"/>
      <c r="S148" s="343"/>
      <c r="T148" s="343"/>
      <c r="U148" s="343"/>
      <c r="V148" s="343"/>
      <c r="W148" s="343"/>
    </row>
    <row r="149" spans="1:23" x14ac:dyDescent="0.2">
      <c r="A149" s="352" t="str">
        <f>IF(F149&lt;&gt;"",1+MAX($A$6:A148),"")</f>
        <v/>
      </c>
      <c r="B149" s="141"/>
      <c r="C149" s="364"/>
      <c r="D149" s="370"/>
      <c r="E149" s="371"/>
      <c r="F149" s="430"/>
      <c r="G149" s="431"/>
      <c r="H149" s="430"/>
      <c r="I149" s="432"/>
      <c r="J149" s="134"/>
      <c r="K149" s="433"/>
      <c r="L149" s="434"/>
      <c r="M149" s="343"/>
      <c r="N149" s="343"/>
      <c r="O149" s="343"/>
      <c r="P149" s="343"/>
      <c r="Q149" s="343"/>
      <c r="R149" s="343"/>
      <c r="S149" s="343"/>
      <c r="T149" s="343"/>
      <c r="U149" s="343"/>
      <c r="V149" s="343"/>
      <c r="W149" s="343"/>
    </row>
    <row r="150" spans="1:23" ht="31.5" x14ac:dyDescent="0.2">
      <c r="A150" s="352">
        <f>IF(F150&lt;&gt;"",1+MAX($A$6:A149),"")</f>
        <v>112</v>
      </c>
      <c r="B150" s="367" t="s">
        <v>623</v>
      </c>
      <c r="C150" s="364"/>
      <c r="D150" s="368"/>
      <c r="E150" s="369" t="s">
        <v>633</v>
      </c>
      <c r="F150" s="128">
        <v>9.5</v>
      </c>
      <c r="G150" s="436">
        <v>0.1</v>
      </c>
      <c r="H150" s="140">
        <f>F150*(1+G150)</f>
        <v>10.450000000000001</v>
      </c>
      <c r="I150" s="141" t="s">
        <v>15</v>
      </c>
      <c r="J150" s="438">
        <f t="shared" ref="J150" si="81">J$112</f>
        <v>0</v>
      </c>
      <c r="K150" s="437">
        <f t="shared" ref="K150:K151" si="82">J150*H150</f>
        <v>0</v>
      </c>
      <c r="L150" s="429"/>
      <c r="M150" s="343"/>
      <c r="N150" s="343"/>
      <c r="O150" s="343"/>
      <c r="P150" s="343"/>
      <c r="Q150" s="343"/>
      <c r="R150" s="343"/>
      <c r="S150" s="343"/>
      <c r="T150" s="343"/>
      <c r="U150" s="343"/>
      <c r="V150" s="343"/>
      <c r="W150" s="343"/>
    </row>
    <row r="151" spans="1:23" ht="31.5" x14ac:dyDescent="0.2">
      <c r="A151" s="352">
        <f>IF(F151&lt;&gt;"",1+MAX($A$6:A150),"")</f>
        <v>113</v>
      </c>
      <c r="B151" s="367" t="s">
        <v>623</v>
      </c>
      <c r="C151" s="364"/>
      <c r="D151" s="368"/>
      <c r="E151" s="369" t="s">
        <v>634</v>
      </c>
      <c r="F151" s="128">
        <v>9</v>
      </c>
      <c r="G151" s="436">
        <v>0.1</v>
      </c>
      <c r="H151" s="140">
        <f>F151*(1+G151)</f>
        <v>9.9</v>
      </c>
      <c r="I151" s="141" t="s">
        <v>15</v>
      </c>
      <c r="J151" s="438">
        <f t="shared" ref="J151" si="83">J$113</f>
        <v>0</v>
      </c>
      <c r="K151" s="437">
        <f t="shared" si="82"/>
        <v>0</v>
      </c>
      <c r="L151" s="429"/>
      <c r="M151" s="343"/>
      <c r="N151" s="343"/>
      <c r="O151" s="343"/>
      <c r="P151" s="343"/>
      <c r="Q151" s="343"/>
      <c r="R151" s="343"/>
      <c r="S151" s="343"/>
      <c r="T151" s="343"/>
      <c r="U151" s="343"/>
      <c r="V151" s="343"/>
      <c r="W151" s="343"/>
    </row>
    <row r="152" spans="1:23" x14ac:dyDescent="0.2">
      <c r="A152" s="352" t="str">
        <f>IF(F152&lt;&gt;"",1+MAX($A$6:A151),"")</f>
        <v/>
      </c>
      <c r="B152" s="141"/>
      <c r="C152" s="364"/>
      <c r="D152" s="370"/>
      <c r="E152" s="371"/>
      <c r="F152" s="430"/>
      <c r="G152" s="431"/>
      <c r="H152" s="430"/>
      <c r="I152" s="432"/>
      <c r="J152" s="134"/>
      <c r="K152" s="433"/>
      <c r="L152" s="434"/>
      <c r="M152" s="343"/>
      <c r="N152" s="343"/>
      <c r="O152" s="343"/>
      <c r="P152" s="343"/>
      <c r="Q152" s="343"/>
      <c r="R152" s="343"/>
      <c r="S152" s="343"/>
      <c r="T152" s="343"/>
      <c r="U152" s="343"/>
      <c r="V152" s="343"/>
      <c r="W152" s="343"/>
    </row>
    <row r="153" spans="1:23" ht="31.5" x14ac:dyDescent="0.2">
      <c r="A153" s="352">
        <f>IF(F153&lt;&gt;"",1+MAX($A$6:A152),"")</f>
        <v>114</v>
      </c>
      <c r="B153" s="367" t="s">
        <v>623</v>
      </c>
      <c r="C153" s="364"/>
      <c r="D153" s="368"/>
      <c r="E153" s="369" t="s">
        <v>635</v>
      </c>
      <c r="F153" s="128">
        <v>2138.5</v>
      </c>
      <c r="G153" s="436">
        <v>0.1</v>
      </c>
      <c r="H153" s="140">
        <f>F153*(1+G153)</f>
        <v>2352.3500000000004</v>
      </c>
      <c r="I153" s="141" t="s">
        <v>15</v>
      </c>
      <c r="J153" s="438">
        <f t="shared" ref="J153" si="84">J$112</f>
        <v>0</v>
      </c>
      <c r="K153" s="437">
        <f t="shared" ref="K153:K156" si="85">J153*H153</f>
        <v>0</v>
      </c>
      <c r="L153" s="429"/>
      <c r="M153" s="343"/>
      <c r="N153" s="343"/>
      <c r="O153" s="343"/>
      <c r="P153" s="343"/>
      <c r="Q153" s="343"/>
      <c r="R153" s="343"/>
      <c r="S153" s="343"/>
      <c r="T153" s="343"/>
      <c r="U153" s="343"/>
      <c r="V153" s="343"/>
      <c r="W153" s="343"/>
    </row>
    <row r="154" spans="1:23" ht="31.5" x14ac:dyDescent="0.2">
      <c r="A154" s="352">
        <f>IF(F154&lt;&gt;"",1+MAX($A$6:A153),"")</f>
        <v>115</v>
      </c>
      <c r="B154" s="367" t="s">
        <v>623</v>
      </c>
      <c r="C154" s="364"/>
      <c r="D154" s="368"/>
      <c r="E154" s="369" t="s">
        <v>636</v>
      </c>
      <c r="F154" s="128">
        <v>660</v>
      </c>
      <c r="G154" s="436">
        <v>0.1</v>
      </c>
      <c r="H154" s="140">
        <f>F154*(1+G154)</f>
        <v>726.00000000000011</v>
      </c>
      <c r="I154" s="141" t="s">
        <v>15</v>
      </c>
      <c r="J154" s="438">
        <f t="shared" ref="J154" si="86">J$113</f>
        <v>0</v>
      </c>
      <c r="K154" s="437">
        <f t="shared" si="85"/>
        <v>0</v>
      </c>
      <c r="L154" s="429"/>
      <c r="M154" s="343"/>
      <c r="N154" s="343"/>
      <c r="O154" s="343"/>
      <c r="P154" s="343"/>
      <c r="Q154" s="343"/>
      <c r="R154" s="343"/>
      <c r="S154" s="343"/>
      <c r="T154" s="343"/>
      <c r="U154" s="343"/>
      <c r="V154" s="343"/>
      <c r="W154" s="343"/>
    </row>
    <row r="155" spans="1:23" ht="31.5" x14ac:dyDescent="0.2">
      <c r="A155" s="352">
        <f>IF(F155&lt;&gt;"",1+MAX($A$6:A154),"")</f>
        <v>116</v>
      </c>
      <c r="B155" s="367" t="s">
        <v>623</v>
      </c>
      <c r="C155" s="364"/>
      <c r="D155" s="368"/>
      <c r="E155" s="369" t="s">
        <v>637</v>
      </c>
      <c r="F155" s="128">
        <v>146.5</v>
      </c>
      <c r="G155" s="436">
        <v>0.1</v>
      </c>
      <c r="H155" s="140">
        <f>F155*(1+G155)</f>
        <v>161.15</v>
      </c>
      <c r="I155" s="141" t="s">
        <v>15</v>
      </c>
      <c r="J155" s="438">
        <f t="shared" ref="J155" si="87">J$116</f>
        <v>0</v>
      </c>
      <c r="K155" s="437">
        <f t="shared" si="85"/>
        <v>0</v>
      </c>
      <c r="L155" s="429"/>
      <c r="M155" s="343"/>
      <c r="N155" s="343"/>
      <c r="O155" s="343"/>
      <c r="P155" s="343"/>
      <c r="Q155" s="343"/>
      <c r="R155" s="343"/>
      <c r="S155" s="343"/>
      <c r="T155" s="343"/>
      <c r="U155" s="343"/>
      <c r="V155" s="343"/>
      <c r="W155" s="343"/>
    </row>
    <row r="156" spans="1:23" ht="31.5" x14ac:dyDescent="0.2">
      <c r="A156" s="352">
        <f>IF(F156&lt;&gt;"",1+MAX($A$6:A155),"")</f>
        <v>117</v>
      </c>
      <c r="B156" s="367" t="s">
        <v>623</v>
      </c>
      <c r="C156" s="364"/>
      <c r="D156" s="368"/>
      <c r="E156" s="369" t="s">
        <v>638</v>
      </c>
      <c r="F156" s="128">
        <v>4</v>
      </c>
      <c r="G156" s="436">
        <v>0.1</v>
      </c>
      <c r="H156" s="140">
        <f>F156*(1+G156)</f>
        <v>4.4000000000000004</v>
      </c>
      <c r="I156" s="141" t="s">
        <v>15</v>
      </c>
      <c r="J156" s="438">
        <f t="shared" ref="J156" si="88">J$117</f>
        <v>0</v>
      </c>
      <c r="K156" s="437">
        <f t="shared" si="85"/>
        <v>0</v>
      </c>
      <c r="L156" s="429"/>
      <c r="M156" s="343"/>
      <c r="N156" s="343"/>
      <c r="O156" s="343"/>
      <c r="P156" s="343"/>
      <c r="Q156" s="343"/>
      <c r="R156" s="343"/>
      <c r="S156" s="343"/>
      <c r="T156" s="343"/>
      <c r="U156" s="343"/>
      <c r="V156" s="343"/>
      <c r="W156" s="343"/>
    </row>
    <row r="157" spans="1:23" x14ac:dyDescent="0.2">
      <c r="A157" s="352" t="str">
        <f>IF(F157&lt;&gt;"",1+MAX($A$6:A156),"")</f>
        <v/>
      </c>
      <c r="B157" s="141"/>
      <c r="C157" s="364"/>
      <c r="D157" s="370"/>
      <c r="E157" s="371"/>
      <c r="F157" s="430"/>
      <c r="G157" s="431"/>
      <c r="H157" s="430"/>
      <c r="I157" s="432"/>
      <c r="J157" s="134"/>
      <c r="K157" s="433"/>
      <c r="L157" s="434"/>
      <c r="M157" s="343"/>
      <c r="N157" s="343"/>
      <c r="O157" s="343"/>
      <c r="P157" s="343"/>
      <c r="Q157" s="343"/>
      <c r="R157" s="343"/>
      <c r="S157" s="343"/>
      <c r="T157" s="343"/>
      <c r="U157" s="343"/>
      <c r="V157" s="343"/>
      <c r="W157" s="343"/>
    </row>
    <row r="158" spans="1:23" ht="31.5" x14ac:dyDescent="0.2">
      <c r="A158" s="352">
        <f>IF(F158&lt;&gt;"",1+MAX($A$6:A157),"")</f>
        <v>118</v>
      </c>
      <c r="B158" s="367" t="s">
        <v>623</v>
      </c>
      <c r="C158" s="364"/>
      <c r="D158" s="368"/>
      <c r="E158" s="369" t="s">
        <v>639</v>
      </c>
      <c r="F158" s="128">
        <v>3739.5</v>
      </c>
      <c r="G158" s="436">
        <v>0.1</v>
      </c>
      <c r="H158" s="140">
        <f>F158*(1+G158)</f>
        <v>4113.4500000000007</v>
      </c>
      <c r="I158" s="141" t="s">
        <v>15</v>
      </c>
      <c r="J158" s="438">
        <f t="shared" ref="J158" si="89">J$112</f>
        <v>0</v>
      </c>
      <c r="K158" s="437">
        <f t="shared" ref="K158:K161" si="90">J158*H158</f>
        <v>0</v>
      </c>
      <c r="L158" s="429"/>
      <c r="M158" s="343"/>
      <c r="N158" s="376"/>
      <c r="O158" s="343"/>
      <c r="P158" s="343"/>
      <c r="Q158" s="343"/>
      <c r="R158" s="343"/>
      <c r="S158" s="343"/>
      <c r="T158" s="343"/>
      <c r="U158" s="343"/>
      <c r="V158" s="343"/>
      <c r="W158" s="343"/>
    </row>
    <row r="159" spans="1:23" ht="31.5" x14ac:dyDescent="0.2">
      <c r="A159" s="352">
        <f>IF(F159&lt;&gt;"",1+MAX($A$6:A158),"")</f>
        <v>119</v>
      </c>
      <c r="B159" s="367" t="s">
        <v>623</v>
      </c>
      <c r="C159" s="364"/>
      <c r="D159" s="368"/>
      <c r="E159" s="369" t="s">
        <v>640</v>
      </c>
      <c r="F159" s="128">
        <v>68.5</v>
      </c>
      <c r="G159" s="436">
        <v>0.1</v>
      </c>
      <c r="H159" s="140">
        <f>F159*(1+G159)</f>
        <v>75.350000000000009</v>
      </c>
      <c r="I159" s="141" t="s">
        <v>15</v>
      </c>
      <c r="J159" s="438">
        <f t="shared" ref="J159" si="91">J$113</f>
        <v>0</v>
      </c>
      <c r="K159" s="437">
        <f t="shared" si="90"/>
        <v>0</v>
      </c>
      <c r="L159" s="429"/>
      <c r="M159" s="343"/>
      <c r="N159" s="376"/>
      <c r="O159" s="343"/>
      <c r="P159" s="343"/>
      <c r="Q159" s="343"/>
      <c r="R159" s="343"/>
      <c r="S159" s="343"/>
      <c r="T159" s="343"/>
      <c r="U159" s="343"/>
      <c r="V159" s="343"/>
      <c r="W159" s="343"/>
    </row>
    <row r="160" spans="1:23" ht="31.5" x14ac:dyDescent="0.2">
      <c r="A160" s="352">
        <f>IF(F160&lt;&gt;"",1+MAX($A$6:A159),"")</f>
        <v>120</v>
      </c>
      <c r="B160" s="367" t="s">
        <v>623</v>
      </c>
      <c r="C160" s="364"/>
      <c r="D160" s="368"/>
      <c r="E160" s="369" t="s">
        <v>641</v>
      </c>
      <c r="F160" s="128">
        <v>54</v>
      </c>
      <c r="G160" s="436">
        <v>0.1</v>
      </c>
      <c r="H160" s="140">
        <f>F160*(1+G160)</f>
        <v>59.400000000000006</v>
      </c>
      <c r="I160" s="141" t="s">
        <v>15</v>
      </c>
      <c r="J160" s="438">
        <f t="shared" ref="J160" si="92">J$116</f>
        <v>0</v>
      </c>
      <c r="K160" s="437">
        <f t="shared" si="90"/>
        <v>0</v>
      </c>
      <c r="L160" s="429"/>
      <c r="M160" s="343"/>
      <c r="N160" s="376"/>
      <c r="O160" s="343"/>
      <c r="P160" s="343"/>
      <c r="Q160" s="343"/>
      <c r="R160" s="343"/>
      <c r="S160" s="343"/>
      <c r="T160" s="343"/>
      <c r="U160" s="343"/>
      <c r="V160" s="343"/>
      <c r="W160" s="343"/>
    </row>
    <row r="161" spans="1:23" ht="31.5" x14ac:dyDescent="0.2">
      <c r="A161" s="352">
        <f>IF(F161&lt;&gt;"",1+MAX($A$6:A160),"")</f>
        <v>121</v>
      </c>
      <c r="B161" s="367" t="s">
        <v>623</v>
      </c>
      <c r="C161" s="364"/>
      <c r="D161" s="368"/>
      <c r="E161" s="369" t="s">
        <v>642</v>
      </c>
      <c r="F161" s="128">
        <v>160.5</v>
      </c>
      <c r="G161" s="436">
        <v>0.1</v>
      </c>
      <c r="H161" s="140">
        <f>F161*(1+G161)</f>
        <v>176.55</v>
      </c>
      <c r="I161" s="141" t="s">
        <v>15</v>
      </c>
      <c r="J161" s="438">
        <f t="shared" ref="J161" si="93">J$117</f>
        <v>0</v>
      </c>
      <c r="K161" s="437">
        <f t="shared" si="90"/>
        <v>0</v>
      </c>
      <c r="L161" s="429"/>
      <c r="M161" s="343"/>
      <c r="N161" s="376"/>
      <c r="O161" s="343"/>
      <c r="P161" s="343"/>
      <c r="Q161" s="343"/>
      <c r="R161" s="343"/>
      <c r="S161" s="343"/>
      <c r="T161" s="343"/>
      <c r="U161" s="343"/>
      <c r="V161" s="343"/>
      <c r="W161" s="343"/>
    </row>
    <row r="162" spans="1:23" ht="16.5" thickBot="1" x14ac:dyDescent="0.25">
      <c r="A162" s="352" t="str">
        <f>IF(F162&lt;&gt;"",1+MAX($A$6:A161),"")</f>
        <v/>
      </c>
      <c r="B162" s="141"/>
      <c r="C162" s="364"/>
      <c r="D162" s="370"/>
      <c r="E162" s="371"/>
      <c r="F162" s="430"/>
      <c r="G162" s="431"/>
      <c r="H162" s="430"/>
      <c r="I162" s="432"/>
      <c r="J162" s="134"/>
      <c r="K162" s="433"/>
      <c r="L162" s="434"/>
      <c r="M162" s="343"/>
      <c r="N162" s="343"/>
      <c r="O162" s="343"/>
      <c r="P162" s="343"/>
      <c r="Q162" s="343"/>
      <c r="R162" s="343"/>
      <c r="S162" s="343"/>
      <c r="T162" s="343"/>
      <c r="U162" s="343"/>
      <c r="V162" s="343"/>
      <c r="W162" s="343"/>
    </row>
    <row r="163" spans="1:23" ht="16.5" customHeight="1" thickBot="1" x14ac:dyDescent="0.25">
      <c r="A163" s="352" t="str">
        <f>IF(F163&lt;&gt;"",1+MAX($A$6:A162),"")</f>
        <v/>
      </c>
      <c r="B163" s="123"/>
      <c r="C163" s="364"/>
      <c r="D163" s="365"/>
      <c r="E163" s="366" t="s">
        <v>566</v>
      </c>
      <c r="F163" s="435"/>
      <c r="G163" s="431"/>
      <c r="H163" s="430"/>
      <c r="I163" s="432"/>
      <c r="J163" s="134"/>
      <c r="K163" s="428"/>
      <c r="L163" s="429"/>
      <c r="M163" s="345"/>
      <c r="N163" s="345"/>
      <c r="O163" s="345"/>
      <c r="P163" s="345"/>
      <c r="Q163" s="345"/>
      <c r="R163" s="343"/>
      <c r="S163" s="343"/>
      <c r="T163" s="343"/>
      <c r="U163" s="343"/>
      <c r="V163" s="343"/>
      <c r="W163" s="343"/>
    </row>
    <row r="164" spans="1:23" ht="31.5" x14ac:dyDescent="0.2">
      <c r="A164" s="352">
        <f>IF(F164&lt;&gt;"",1+MAX($A$6:A163),"")</f>
        <v>122</v>
      </c>
      <c r="B164" s="367" t="s">
        <v>643</v>
      </c>
      <c r="C164" s="364"/>
      <c r="D164" s="368"/>
      <c r="E164" s="373" t="s">
        <v>644</v>
      </c>
      <c r="F164" s="128">
        <v>16</v>
      </c>
      <c r="G164" s="436">
        <v>0</v>
      </c>
      <c r="H164" s="140">
        <f t="shared" ref="H164" si="94">F164*(1+G164)</f>
        <v>16</v>
      </c>
      <c r="I164" s="141" t="s">
        <v>20</v>
      </c>
      <c r="J164" s="817">
        <v>0</v>
      </c>
      <c r="K164" s="437">
        <f t="shared" ref="K164:K187" si="95">J164*H164</f>
        <v>0</v>
      </c>
      <c r="L164" s="429"/>
      <c r="M164" s="343"/>
      <c r="N164" s="343"/>
      <c r="O164" s="343"/>
      <c r="P164" s="343"/>
      <c r="Q164" s="343"/>
      <c r="R164" s="343"/>
      <c r="S164" s="343"/>
      <c r="T164" s="343"/>
      <c r="U164" s="343"/>
      <c r="V164" s="343"/>
      <c r="W164" s="343"/>
    </row>
    <row r="165" spans="1:23" ht="31.5" x14ac:dyDescent="0.2">
      <c r="A165" s="352">
        <f>IF(F165&lt;&gt;"",1+MAX($A$6:A164),"")</f>
        <v>123</v>
      </c>
      <c r="B165" s="367" t="s">
        <v>643</v>
      </c>
      <c r="C165" s="361"/>
      <c r="D165" s="368"/>
      <c r="E165" s="373" t="s">
        <v>645</v>
      </c>
      <c r="F165" s="128">
        <v>23</v>
      </c>
      <c r="G165" s="436">
        <v>0</v>
      </c>
      <c r="H165" s="140">
        <f>F165*(1+G165)</f>
        <v>23</v>
      </c>
      <c r="I165" s="141" t="s">
        <v>20</v>
      </c>
      <c r="J165" s="817">
        <v>0</v>
      </c>
      <c r="K165" s="437">
        <f t="shared" si="95"/>
        <v>0</v>
      </c>
      <c r="L165" s="429"/>
      <c r="M165" s="343"/>
      <c r="N165" s="343"/>
      <c r="O165" s="343"/>
      <c r="P165" s="343"/>
      <c r="Q165" s="343"/>
      <c r="R165" s="343"/>
      <c r="S165" s="343"/>
      <c r="T165" s="343"/>
      <c r="U165" s="343"/>
      <c r="V165" s="343"/>
      <c r="W165" s="343"/>
    </row>
    <row r="166" spans="1:23" ht="31.5" x14ac:dyDescent="0.2">
      <c r="A166" s="352">
        <f>IF(F166&lt;&gt;"",1+MAX($A$6:A165),"")</f>
        <v>124</v>
      </c>
      <c r="B166" s="367" t="s">
        <v>643</v>
      </c>
      <c r="C166" s="361"/>
      <c r="D166" s="368"/>
      <c r="E166" s="373" t="s">
        <v>646</v>
      </c>
      <c r="F166" s="128">
        <v>2</v>
      </c>
      <c r="G166" s="436">
        <v>0</v>
      </c>
      <c r="H166" s="140">
        <f>F166*(1+G166)</f>
        <v>2</v>
      </c>
      <c r="I166" s="141" t="s">
        <v>20</v>
      </c>
      <c r="J166" s="817">
        <v>0</v>
      </c>
      <c r="K166" s="437">
        <f t="shared" si="95"/>
        <v>0</v>
      </c>
      <c r="L166" s="429"/>
      <c r="M166" s="343"/>
      <c r="N166" s="343"/>
      <c r="O166" s="343"/>
      <c r="P166" s="343"/>
      <c r="Q166" s="343"/>
      <c r="R166" s="343"/>
      <c r="S166" s="343"/>
      <c r="T166" s="343"/>
      <c r="U166" s="343"/>
      <c r="V166" s="343"/>
      <c r="W166" s="343"/>
    </row>
    <row r="167" spans="1:23" ht="31.5" x14ac:dyDescent="0.2">
      <c r="A167" s="352">
        <f>IF(F167&lt;&gt;"",1+MAX($A$6:A166),"")</f>
        <v>125</v>
      </c>
      <c r="B167" s="367" t="s">
        <v>643</v>
      </c>
      <c r="C167" s="361"/>
      <c r="D167" s="368"/>
      <c r="E167" s="373" t="s">
        <v>647</v>
      </c>
      <c r="F167" s="128">
        <v>2</v>
      </c>
      <c r="G167" s="436">
        <v>0</v>
      </c>
      <c r="H167" s="140">
        <f t="shared" ref="H167:H173" si="96">F167*(1+G167)</f>
        <v>2</v>
      </c>
      <c r="I167" s="141" t="s">
        <v>20</v>
      </c>
      <c r="J167" s="817">
        <v>0</v>
      </c>
      <c r="K167" s="437">
        <f t="shared" si="95"/>
        <v>0</v>
      </c>
      <c r="L167" s="429"/>
      <c r="M167" s="343"/>
      <c r="N167" s="343"/>
      <c r="O167" s="343"/>
      <c r="P167" s="343"/>
      <c r="Q167" s="343"/>
      <c r="R167" s="343"/>
      <c r="S167" s="343"/>
      <c r="T167" s="343"/>
      <c r="U167" s="343"/>
      <c r="V167" s="343"/>
      <c r="W167" s="343"/>
    </row>
    <row r="168" spans="1:23" ht="31.5" x14ac:dyDescent="0.2">
      <c r="A168" s="352">
        <f>IF(F168&lt;&gt;"",1+MAX($A$6:A167),"")</f>
        <v>126</v>
      </c>
      <c r="B168" s="367" t="s">
        <v>643</v>
      </c>
      <c r="C168" s="361"/>
      <c r="D168" s="368"/>
      <c r="E168" s="373" t="s">
        <v>648</v>
      </c>
      <c r="F168" s="128">
        <v>16</v>
      </c>
      <c r="G168" s="436">
        <v>0</v>
      </c>
      <c r="H168" s="140">
        <f t="shared" si="96"/>
        <v>16</v>
      </c>
      <c r="I168" s="141" t="s">
        <v>20</v>
      </c>
      <c r="J168" s="817">
        <v>0</v>
      </c>
      <c r="K168" s="437">
        <f t="shared" si="95"/>
        <v>0</v>
      </c>
      <c r="L168" s="429"/>
      <c r="M168" s="343"/>
      <c r="N168" s="343"/>
      <c r="O168" s="343"/>
      <c r="P168" s="343"/>
      <c r="Q168" s="343"/>
      <c r="R168" s="343"/>
      <c r="S168" s="343"/>
      <c r="T168" s="343"/>
      <c r="U168" s="343"/>
      <c r="V168" s="343"/>
      <c r="W168" s="343"/>
    </row>
    <row r="169" spans="1:23" ht="31.5" x14ac:dyDescent="0.2">
      <c r="A169" s="352">
        <f>IF(F169&lt;&gt;"",1+MAX($A$6:A168),"")</f>
        <v>127</v>
      </c>
      <c r="B169" s="367" t="s">
        <v>643</v>
      </c>
      <c r="C169" s="361"/>
      <c r="D169" s="361"/>
      <c r="E169" s="374" t="s">
        <v>580</v>
      </c>
      <c r="F169" s="128">
        <v>1</v>
      </c>
      <c r="G169" s="436">
        <v>0</v>
      </c>
      <c r="H169" s="140">
        <f t="shared" si="96"/>
        <v>1</v>
      </c>
      <c r="I169" s="141" t="s">
        <v>20</v>
      </c>
      <c r="J169" s="817">
        <v>0</v>
      </c>
      <c r="K169" s="437">
        <f t="shared" si="95"/>
        <v>0</v>
      </c>
      <c r="L169" s="429"/>
      <c r="M169" s="343"/>
      <c r="N169" s="343"/>
      <c r="O169" s="343"/>
      <c r="P169" s="343"/>
      <c r="Q169" s="343"/>
      <c r="R169" s="343"/>
      <c r="S169" s="343"/>
      <c r="T169" s="343"/>
      <c r="U169" s="343"/>
      <c r="V169" s="343"/>
      <c r="W169" s="343"/>
    </row>
    <row r="170" spans="1:23" ht="31.5" x14ac:dyDescent="0.2">
      <c r="A170" s="352">
        <f>IF(F170&lt;&gt;"",1+MAX($A$6:A169),"")</f>
        <v>128</v>
      </c>
      <c r="B170" s="367" t="s">
        <v>643</v>
      </c>
      <c r="C170" s="361"/>
      <c r="D170" s="361"/>
      <c r="E170" s="374" t="s">
        <v>649</v>
      </c>
      <c r="F170" s="128">
        <v>49</v>
      </c>
      <c r="G170" s="436">
        <v>0</v>
      </c>
      <c r="H170" s="140">
        <f t="shared" si="96"/>
        <v>49</v>
      </c>
      <c r="I170" s="141" t="s">
        <v>20</v>
      </c>
      <c r="J170" s="817">
        <v>0</v>
      </c>
      <c r="K170" s="437">
        <f t="shared" si="95"/>
        <v>0</v>
      </c>
      <c r="L170" s="429"/>
      <c r="M170" s="343"/>
      <c r="N170" s="343"/>
      <c r="O170" s="343"/>
      <c r="P170" s="343"/>
      <c r="Q170" s="343"/>
      <c r="R170" s="343"/>
      <c r="S170" s="343"/>
      <c r="T170" s="343"/>
      <c r="U170" s="343"/>
      <c r="V170" s="343"/>
      <c r="W170" s="343"/>
    </row>
    <row r="171" spans="1:23" ht="31.5" x14ac:dyDescent="0.2">
      <c r="A171" s="352">
        <f>IF(F171&lt;&gt;"",1+MAX($A$6:A170),"")</f>
        <v>129</v>
      </c>
      <c r="B171" s="367" t="s">
        <v>643</v>
      </c>
      <c r="C171" s="361"/>
      <c r="D171" s="361"/>
      <c r="E171" s="374" t="s">
        <v>650</v>
      </c>
      <c r="F171" s="128">
        <v>2</v>
      </c>
      <c r="G171" s="436">
        <v>0</v>
      </c>
      <c r="H171" s="140">
        <f t="shared" si="96"/>
        <v>2</v>
      </c>
      <c r="I171" s="141" t="s">
        <v>20</v>
      </c>
      <c r="J171" s="830">
        <f>J$170</f>
        <v>0</v>
      </c>
      <c r="K171" s="437">
        <f t="shared" si="95"/>
        <v>0</v>
      </c>
      <c r="L171" s="429"/>
      <c r="M171" s="343"/>
      <c r="N171" s="343"/>
      <c r="O171" s="343"/>
      <c r="P171" s="343"/>
      <c r="Q171" s="343"/>
      <c r="R171" s="343"/>
      <c r="S171" s="343"/>
      <c r="T171" s="343"/>
      <c r="U171" s="343"/>
      <c r="V171" s="343"/>
      <c r="W171" s="343"/>
    </row>
    <row r="172" spans="1:23" ht="31.5" x14ac:dyDescent="0.2">
      <c r="A172" s="352">
        <f>IF(F172&lt;&gt;"",1+MAX($A$6:A171),"")</f>
        <v>130</v>
      </c>
      <c r="B172" s="367" t="s">
        <v>643</v>
      </c>
      <c r="C172" s="361"/>
      <c r="D172" s="361"/>
      <c r="E172" s="374" t="s">
        <v>651</v>
      </c>
      <c r="F172" s="128">
        <v>1</v>
      </c>
      <c r="G172" s="436">
        <v>0</v>
      </c>
      <c r="H172" s="140">
        <f t="shared" si="96"/>
        <v>1</v>
      </c>
      <c r="I172" s="141" t="s">
        <v>20</v>
      </c>
      <c r="J172" s="817">
        <v>0</v>
      </c>
      <c r="K172" s="437">
        <f t="shared" si="95"/>
        <v>0</v>
      </c>
      <c r="L172" s="429"/>
      <c r="M172" s="343"/>
      <c r="N172" s="343"/>
      <c r="O172" s="343"/>
      <c r="P172" s="343"/>
      <c r="Q172" s="343"/>
      <c r="R172" s="343"/>
      <c r="S172" s="343"/>
      <c r="T172" s="343"/>
      <c r="U172" s="343"/>
      <c r="V172" s="343"/>
      <c r="W172" s="343"/>
    </row>
    <row r="173" spans="1:23" ht="31.5" x14ac:dyDescent="0.2">
      <c r="A173" s="352">
        <f>IF(F173&lt;&gt;"",1+MAX($A$6:A172),"")</f>
        <v>131</v>
      </c>
      <c r="B173" s="367" t="s">
        <v>643</v>
      </c>
      <c r="C173" s="364"/>
      <c r="D173" s="368"/>
      <c r="E173" s="373" t="s">
        <v>652</v>
      </c>
      <c r="F173" s="128">
        <v>3</v>
      </c>
      <c r="G173" s="436">
        <v>0</v>
      </c>
      <c r="H173" s="140">
        <f t="shared" si="96"/>
        <v>3</v>
      </c>
      <c r="I173" s="141" t="s">
        <v>20</v>
      </c>
      <c r="J173" s="817">
        <v>0</v>
      </c>
      <c r="K173" s="437">
        <f t="shared" si="95"/>
        <v>0</v>
      </c>
      <c r="L173" s="429"/>
      <c r="M173" s="343"/>
      <c r="N173" s="343"/>
      <c r="O173" s="343"/>
      <c r="P173" s="343"/>
      <c r="Q173" s="343"/>
      <c r="R173" s="343"/>
      <c r="S173" s="343"/>
      <c r="T173" s="343"/>
      <c r="U173" s="343"/>
      <c r="V173" s="343"/>
      <c r="W173" s="343"/>
    </row>
    <row r="174" spans="1:23" ht="31.5" x14ac:dyDescent="0.2">
      <c r="A174" s="352">
        <f>IF(F174&lt;&gt;"",1+MAX($A$6:A173),"")</f>
        <v>132</v>
      </c>
      <c r="B174" s="367" t="s">
        <v>643</v>
      </c>
      <c r="C174" s="361"/>
      <c r="D174" s="368"/>
      <c r="E174" s="373" t="s">
        <v>653</v>
      </c>
      <c r="F174" s="128">
        <v>6</v>
      </c>
      <c r="G174" s="436">
        <v>0</v>
      </c>
      <c r="H174" s="140">
        <f>F174*(1+G174)</f>
        <v>6</v>
      </c>
      <c r="I174" s="141" t="s">
        <v>20</v>
      </c>
      <c r="J174" s="830">
        <f>J$173</f>
        <v>0</v>
      </c>
      <c r="K174" s="437">
        <f t="shared" si="95"/>
        <v>0</v>
      </c>
      <c r="L174" s="429"/>
      <c r="M174" s="343"/>
      <c r="N174" s="343"/>
      <c r="O174" s="343"/>
      <c r="P174" s="343"/>
      <c r="Q174" s="343"/>
      <c r="R174" s="343"/>
      <c r="S174" s="343"/>
      <c r="T174" s="343"/>
      <c r="U174" s="343"/>
      <c r="V174" s="343"/>
      <c r="W174" s="343"/>
    </row>
    <row r="175" spans="1:23" ht="31.5" x14ac:dyDescent="0.2">
      <c r="A175" s="352">
        <f>IF(F175&lt;&gt;"",1+MAX($A$6:A174),"")</f>
        <v>133</v>
      </c>
      <c r="B175" s="367" t="s">
        <v>643</v>
      </c>
      <c r="C175" s="361"/>
      <c r="D175" s="368"/>
      <c r="E175" s="373" t="s">
        <v>654</v>
      </c>
      <c r="F175" s="128">
        <v>1</v>
      </c>
      <c r="G175" s="436">
        <v>0</v>
      </c>
      <c r="H175" s="140">
        <f>F175*(1+G175)</f>
        <v>1</v>
      </c>
      <c r="I175" s="141" t="s">
        <v>20</v>
      </c>
      <c r="J175" s="817">
        <v>0</v>
      </c>
      <c r="K175" s="437">
        <f t="shared" si="95"/>
        <v>0</v>
      </c>
      <c r="L175" s="429"/>
      <c r="M175" s="343"/>
      <c r="N175" s="343"/>
      <c r="O175" s="343"/>
      <c r="P175" s="343"/>
      <c r="Q175" s="343"/>
      <c r="R175" s="343"/>
      <c r="S175" s="343"/>
      <c r="T175" s="343"/>
      <c r="U175" s="343"/>
      <c r="V175" s="343"/>
      <c r="W175" s="343"/>
    </row>
    <row r="176" spans="1:23" ht="31.5" x14ac:dyDescent="0.2">
      <c r="A176" s="352">
        <f>IF(F176&lt;&gt;"",1+MAX($A$6:A175),"")</f>
        <v>134</v>
      </c>
      <c r="B176" s="367" t="s">
        <v>643</v>
      </c>
      <c r="C176" s="361"/>
      <c r="D176" s="361"/>
      <c r="E176" s="373" t="s">
        <v>655</v>
      </c>
      <c r="F176" s="128">
        <v>83</v>
      </c>
      <c r="G176" s="436">
        <v>0</v>
      </c>
      <c r="H176" s="140">
        <f t="shared" ref="H176:H182" si="97">F176*(1+G176)</f>
        <v>83</v>
      </c>
      <c r="I176" s="141" t="s">
        <v>20</v>
      </c>
      <c r="J176" s="817">
        <v>0</v>
      </c>
      <c r="K176" s="437">
        <f t="shared" si="95"/>
        <v>0</v>
      </c>
      <c r="L176" s="429"/>
      <c r="M176" s="343"/>
      <c r="N176" s="343"/>
      <c r="O176" s="343"/>
      <c r="P176" s="343"/>
      <c r="Q176" s="343"/>
      <c r="R176" s="343"/>
      <c r="S176" s="343"/>
      <c r="T176" s="343"/>
      <c r="U176" s="343"/>
      <c r="V176" s="343"/>
      <c r="W176" s="343"/>
    </row>
    <row r="177" spans="1:23" ht="31.5" x14ac:dyDescent="0.2">
      <c r="A177" s="352">
        <f>IF(F177&lt;&gt;"",1+MAX($A$6:A176),"")</f>
        <v>135</v>
      </c>
      <c r="B177" s="367" t="s">
        <v>643</v>
      </c>
      <c r="C177" s="361"/>
      <c r="D177" s="368"/>
      <c r="E177" s="374" t="s">
        <v>656</v>
      </c>
      <c r="F177" s="128">
        <v>7</v>
      </c>
      <c r="G177" s="436">
        <v>0</v>
      </c>
      <c r="H177" s="140">
        <f t="shared" si="97"/>
        <v>7</v>
      </c>
      <c r="I177" s="141" t="s">
        <v>20</v>
      </c>
      <c r="J177" s="817">
        <v>0</v>
      </c>
      <c r="K177" s="437">
        <f t="shared" si="95"/>
        <v>0</v>
      </c>
      <c r="L177" s="429"/>
      <c r="M177" s="343"/>
      <c r="N177" s="343"/>
      <c r="O177" s="343"/>
      <c r="P177" s="343"/>
      <c r="Q177" s="343"/>
      <c r="R177" s="343"/>
      <c r="S177" s="343"/>
      <c r="T177" s="343"/>
      <c r="U177" s="343"/>
      <c r="V177" s="343"/>
      <c r="W177" s="343"/>
    </row>
    <row r="178" spans="1:23" ht="31.5" x14ac:dyDescent="0.2">
      <c r="A178" s="352">
        <f>IF(F178&lt;&gt;"",1+MAX($A$6:A177),"")</f>
        <v>136</v>
      </c>
      <c r="B178" s="367" t="s">
        <v>643</v>
      </c>
      <c r="C178" s="361"/>
      <c r="D178" s="361"/>
      <c r="E178" s="374" t="s">
        <v>657</v>
      </c>
      <c r="F178" s="128">
        <v>5</v>
      </c>
      <c r="G178" s="436">
        <v>0</v>
      </c>
      <c r="H178" s="140">
        <f t="shared" si="97"/>
        <v>5</v>
      </c>
      <c r="I178" s="141" t="s">
        <v>20</v>
      </c>
      <c r="J178" s="817">
        <v>0</v>
      </c>
      <c r="K178" s="437">
        <f t="shared" si="95"/>
        <v>0</v>
      </c>
      <c r="L178" s="429"/>
      <c r="M178" s="343"/>
      <c r="N178" s="343"/>
      <c r="O178" s="343"/>
      <c r="P178" s="343"/>
      <c r="Q178" s="343"/>
      <c r="R178" s="343"/>
      <c r="S178" s="343"/>
      <c r="T178" s="343"/>
      <c r="U178" s="343"/>
      <c r="V178" s="343"/>
      <c r="W178" s="343"/>
    </row>
    <row r="179" spans="1:23" ht="31.5" x14ac:dyDescent="0.2">
      <c r="A179" s="352">
        <f>IF(F179&lt;&gt;"",1+MAX($A$6:A178),"")</f>
        <v>137</v>
      </c>
      <c r="B179" s="367" t="s">
        <v>643</v>
      </c>
      <c r="C179" s="361"/>
      <c r="D179" s="361"/>
      <c r="E179" s="374" t="s">
        <v>658</v>
      </c>
      <c r="F179" s="128">
        <v>1</v>
      </c>
      <c r="G179" s="436">
        <v>0</v>
      </c>
      <c r="H179" s="140">
        <f t="shared" si="97"/>
        <v>1</v>
      </c>
      <c r="I179" s="141" t="s">
        <v>20</v>
      </c>
      <c r="J179" s="817">
        <v>0</v>
      </c>
      <c r="K179" s="437">
        <f t="shared" si="95"/>
        <v>0</v>
      </c>
      <c r="L179" s="429"/>
      <c r="M179" s="343"/>
      <c r="N179" s="343"/>
      <c r="O179" s="343"/>
      <c r="P179" s="343"/>
      <c r="Q179" s="343"/>
      <c r="R179" s="343"/>
      <c r="S179" s="343"/>
      <c r="T179" s="343"/>
      <c r="U179" s="343"/>
      <c r="V179" s="343"/>
      <c r="W179" s="343"/>
    </row>
    <row r="180" spans="1:23" ht="31.5" x14ac:dyDescent="0.2">
      <c r="A180" s="352">
        <f>IF(F180&lt;&gt;"",1+MAX($A$6:A179),"")</f>
        <v>138</v>
      </c>
      <c r="B180" s="367" t="s">
        <v>643</v>
      </c>
      <c r="C180" s="361"/>
      <c r="D180" s="361"/>
      <c r="E180" s="374" t="s">
        <v>659</v>
      </c>
      <c r="F180" s="128">
        <v>3</v>
      </c>
      <c r="G180" s="436">
        <v>0</v>
      </c>
      <c r="H180" s="140">
        <f t="shared" si="97"/>
        <v>3</v>
      </c>
      <c r="I180" s="141" t="s">
        <v>20</v>
      </c>
      <c r="J180" s="817">
        <v>0</v>
      </c>
      <c r="K180" s="437">
        <f t="shared" si="95"/>
        <v>0</v>
      </c>
      <c r="L180" s="429"/>
      <c r="M180" s="343"/>
      <c r="N180" s="343"/>
      <c r="O180" s="343"/>
      <c r="P180" s="343"/>
      <c r="Q180" s="343"/>
      <c r="R180" s="343"/>
      <c r="S180" s="343"/>
      <c r="T180" s="343"/>
      <c r="U180" s="343"/>
      <c r="V180" s="343"/>
      <c r="W180" s="343"/>
    </row>
    <row r="181" spans="1:23" ht="31.5" x14ac:dyDescent="0.2">
      <c r="A181" s="352">
        <f>IF(F181&lt;&gt;"",1+MAX($A$6:A180),"")</f>
        <v>139</v>
      </c>
      <c r="B181" s="367" t="s">
        <v>643</v>
      </c>
      <c r="C181" s="361"/>
      <c r="D181" s="361"/>
      <c r="E181" s="374" t="s">
        <v>660</v>
      </c>
      <c r="F181" s="128">
        <v>83</v>
      </c>
      <c r="G181" s="436">
        <v>0</v>
      </c>
      <c r="H181" s="140">
        <f t="shared" si="97"/>
        <v>83</v>
      </c>
      <c r="I181" s="141" t="s">
        <v>20</v>
      </c>
      <c r="J181" s="817">
        <v>0</v>
      </c>
      <c r="K181" s="437">
        <f t="shared" si="95"/>
        <v>0</v>
      </c>
      <c r="L181" s="429"/>
      <c r="M181" s="343"/>
      <c r="N181" s="343"/>
      <c r="O181" s="343"/>
      <c r="P181" s="343"/>
      <c r="Q181" s="343"/>
      <c r="R181" s="343"/>
      <c r="S181" s="343"/>
      <c r="T181" s="343"/>
      <c r="U181" s="343"/>
      <c r="V181" s="343"/>
      <c r="W181" s="343"/>
    </row>
    <row r="182" spans="1:23" ht="31.5" x14ac:dyDescent="0.2">
      <c r="A182" s="352">
        <f>IF(F182&lt;&gt;"",1+MAX($A$6:A181),"")</f>
        <v>140</v>
      </c>
      <c r="B182" s="367" t="s">
        <v>643</v>
      </c>
      <c r="C182" s="364"/>
      <c r="D182" s="368"/>
      <c r="E182" s="373" t="s">
        <v>661</v>
      </c>
      <c r="F182" s="128">
        <v>1</v>
      </c>
      <c r="G182" s="436">
        <v>0</v>
      </c>
      <c r="H182" s="140">
        <f t="shared" si="97"/>
        <v>1</v>
      </c>
      <c r="I182" s="141" t="s">
        <v>20</v>
      </c>
      <c r="J182" s="817">
        <v>0</v>
      </c>
      <c r="K182" s="437">
        <f t="shared" si="95"/>
        <v>0</v>
      </c>
      <c r="L182" s="429"/>
      <c r="M182" s="343"/>
      <c r="N182" s="343"/>
      <c r="O182" s="343"/>
      <c r="P182" s="343"/>
      <c r="Q182" s="343"/>
      <c r="R182" s="343"/>
      <c r="S182" s="343"/>
      <c r="T182" s="343"/>
      <c r="U182" s="343"/>
      <c r="V182" s="343"/>
      <c r="W182" s="343"/>
    </row>
    <row r="183" spans="1:23" ht="31.5" x14ac:dyDescent="0.2">
      <c r="A183" s="352">
        <f>IF(F183&lt;&gt;"",1+MAX($A$6:A182),"")</f>
        <v>141</v>
      </c>
      <c r="B183" s="367" t="s">
        <v>643</v>
      </c>
      <c r="C183" s="361"/>
      <c r="D183" s="368"/>
      <c r="E183" s="373" t="s">
        <v>662</v>
      </c>
      <c r="F183" s="128">
        <v>64</v>
      </c>
      <c r="G183" s="436">
        <v>0</v>
      </c>
      <c r="H183" s="140">
        <f>F183*(1+G183)</f>
        <v>64</v>
      </c>
      <c r="I183" s="141" t="s">
        <v>20</v>
      </c>
      <c r="J183" s="817">
        <v>0</v>
      </c>
      <c r="K183" s="437">
        <f t="shared" si="95"/>
        <v>0</v>
      </c>
      <c r="L183" s="429"/>
      <c r="M183" s="343"/>
      <c r="N183" s="343"/>
      <c r="O183" s="343"/>
      <c r="P183" s="343"/>
      <c r="Q183" s="343"/>
      <c r="R183" s="343"/>
      <c r="S183" s="343"/>
      <c r="T183" s="343"/>
      <c r="U183" s="343"/>
      <c r="V183" s="343"/>
      <c r="W183" s="343"/>
    </row>
    <row r="184" spans="1:23" ht="31.5" x14ac:dyDescent="0.2">
      <c r="A184" s="352">
        <f>IF(F184&lt;&gt;"",1+MAX($A$6:A183),"")</f>
        <v>142</v>
      </c>
      <c r="B184" s="367" t="s">
        <v>643</v>
      </c>
      <c r="C184" s="361"/>
      <c r="D184" s="368"/>
      <c r="E184" s="373" t="s">
        <v>663</v>
      </c>
      <c r="F184" s="128">
        <v>1</v>
      </c>
      <c r="G184" s="436">
        <v>0</v>
      </c>
      <c r="H184" s="140">
        <f>F184*(1+G184)</f>
        <v>1</v>
      </c>
      <c r="I184" s="141" t="s">
        <v>20</v>
      </c>
      <c r="J184" s="817">
        <v>0</v>
      </c>
      <c r="K184" s="437">
        <f t="shared" si="95"/>
        <v>0</v>
      </c>
      <c r="L184" s="429"/>
      <c r="M184" s="343"/>
      <c r="N184" s="343"/>
      <c r="O184" s="343"/>
      <c r="P184" s="343"/>
      <c r="Q184" s="343"/>
      <c r="R184" s="343"/>
      <c r="S184" s="343"/>
      <c r="T184" s="343"/>
      <c r="U184" s="343"/>
      <c r="V184" s="343"/>
      <c r="W184" s="343"/>
    </row>
    <row r="185" spans="1:23" ht="31.5" x14ac:dyDescent="0.2">
      <c r="A185" s="352">
        <f>IF(F185&lt;&gt;"",1+MAX($A$6:A184),"")</f>
        <v>143</v>
      </c>
      <c r="B185" s="367" t="s">
        <v>643</v>
      </c>
      <c r="C185" s="361"/>
      <c r="D185" s="368"/>
      <c r="E185" s="373" t="s">
        <v>664</v>
      </c>
      <c r="F185" s="128">
        <v>2</v>
      </c>
      <c r="G185" s="436">
        <v>0</v>
      </c>
      <c r="H185" s="140">
        <f t="shared" ref="H185:H187" si="98">F185*(1+G185)</f>
        <v>2</v>
      </c>
      <c r="I185" s="141" t="s">
        <v>20</v>
      </c>
      <c r="J185" s="817">
        <v>0</v>
      </c>
      <c r="K185" s="437">
        <f t="shared" si="95"/>
        <v>0</v>
      </c>
      <c r="L185" s="429"/>
      <c r="M185" s="343"/>
      <c r="N185" s="343"/>
      <c r="O185" s="343"/>
      <c r="P185" s="343"/>
      <c r="Q185" s="343"/>
      <c r="R185" s="343"/>
      <c r="S185" s="343"/>
      <c r="T185" s="343"/>
      <c r="U185" s="343"/>
      <c r="V185" s="343"/>
      <c r="W185" s="343"/>
    </row>
    <row r="186" spans="1:23" ht="31.5" x14ac:dyDescent="0.2">
      <c r="A186" s="352">
        <f>IF(F186&lt;&gt;"",1+MAX($A$6:A185),"")</f>
        <v>144</v>
      </c>
      <c r="B186" s="367" t="s">
        <v>643</v>
      </c>
      <c r="C186" s="361"/>
      <c r="D186" s="368"/>
      <c r="E186" s="373" t="s">
        <v>665</v>
      </c>
      <c r="F186" s="128">
        <v>9</v>
      </c>
      <c r="G186" s="436">
        <v>0</v>
      </c>
      <c r="H186" s="140">
        <f t="shared" si="98"/>
        <v>9</v>
      </c>
      <c r="I186" s="141" t="s">
        <v>20</v>
      </c>
      <c r="J186" s="817">
        <v>0</v>
      </c>
      <c r="K186" s="437">
        <f t="shared" si="95"/>
        <v>0</v>
      </c>
      <c r="L186" s="429"/>
      <c r="M186" s="343"/>
      <c r="N186" s="343"/>
      <c r="O186" s="343"/>
      <c r="P186" s="343"/>
      <c r="Q186" s="343"/>
      <c r="R186" s="343"/>
      <c r="S186" s="343"/>
      <c r="T186" s="343"/>
      <c r="U186" s="343"/>
      <c r="V186" s="343"/>
      <c r="W186" s="343"/>
    </row>
    <row r="187" spans="1:23" ht="31.5" x14ac:dyDescent="0.2">
      <c r="A187" s="352">
        <f>IF(F187&lt;&gt;"",1+MAX($A$6:A186),"")</f>
        <v>145</v>
      </c>
      <c r="B187" s="367" t="s">
        <v>643</v>
      </c>
      <c r="C187" s="361"/>
      <c r="D187" s="361"/>
      <c r="E187" s="374" t="s">
        <v>666</v>
      </c>
      <c r="F187" s="128">
        <v>86</v>
      </c>
      <c r="G187" s="436">
        <v>0</v>
      </c>
      <c r="H187" s="140">
        <f t="shared" si="98"/>
        <v>86</v>
      </c>
      <c r="I187" s="141" t="s">
        <v>20</v>
      </c>
      <c r="J187" s="817">
        <v>0</v>
      </c>
      <c r="K187" s="437">
        <f t="shared" si="95"/>
        <v>0</v>
      </c>
      <c r="L187" s="429"/>
      <c r="M187" s="343"/>
      <c r="N187" s="343"/>
      <c r="O187" s="343"/>
      <c r="P187" s="343"/>
      <c r="Q187" s="343"/>
      <c r="R187" s="343"/>
      <c r="S187" s="343"/>
      <c r="T187" s="343"/>
      <c r="U187" s="343"/>
      <c r="V187" s="343"/>
      <c r="W187" s="343"/>
    </row>
    <row r="188" spans="1:23" s="377" customFormat="1" ht="16.5" thickBot="1" x14ac:dyDescent="0.25">
      <c r="A188" s="352" t="str">
        <f>IF(F188&lt;&gt;"",1+MAX($A$6:A187),"")</f>
        <v/>
      </c>
      <c r="B188" s="141"/>
      <c r="C188" s="141"/>
      <c r="D188" s="141"/>
      <c r="E188" s="141"/>
      <c r="F188" s="141"/>
      <c r="G188" s="141"/>
      <c r="H188" s="141"/>
      <c r="I188" s="141"/>
      <c r="J188" s="141"/>
      <c r="K188" s="437"/>
      <c r="L188" s="340"/>
      <c r="M188" s="280"/>
    </row>
    <row r="189" spans="1:23" ht="19.5" thickBot="1" x14ac:dyDescent="0.25">
      <c r="A189" s="352" t="str">
        <f>IF(F189&lt;&gt;"",1+MAX($A$6:A188),"")</f>
        <v/>
      </c>
      <c r="B189" s="357"/>
      <c r="C189" s="358"/>
      <c r="D189" s="359" t="s">
        <v>511</v>
      </c>
      <c r="E189" s="360" t="s">
        <v>667</v>
      </c>
      <c r="F189" s="359"/>
      <c r="G189" s="424"/>
      <c r="H189" s="425"/>
      <c r="I189" s="426"/>
      <c r="J189" s="427"/>
      <c r="K189" s="428"/>
      <c r="L189" s="429"/>
      <c r="M189" s="345"/>
      <c r="N189" s="345"/>
      <c r="O189" s="345"/>
      <c r="P189" s="345"/>
      <c r="Q189" s="345"/>
      <c r="R189" s="343"/>
      <c r="S189" s="343"/>
      <c r="T189" s="343"/>
      <c r="U189" s="343"/>
      <c r="V189" s="343"/>
      <c r="W189" s="343"/>
    </row>
    <row r="190" spans="1:23" ht="48" thickBot="1" x14ac:dyDescent="0.25">
      <c r="A190" s="352" t="str">
        <f>IF(F190&lt;&gt;"",1+MAX($A$6:A189),"")</f>
        <v/>
      </c>
      <c r="B190" s="141"/>
      <c r="C190" s="364"/>
      <c r="D190" s="370"/>
      <c r="E190" s="363" t="s">
        <v>668</v>
      </c>
      <c r="F190" s="430"/>
      <c r="G190" s="431"/>
      <c r="H190" s="430"/>
      <c r="I190" s="432"/>
      <c r="J190" s="134"/>
      <c r="K190" s="433"/>
      <c r="L190" s="434"/>
      <c r="M190" s="343"/>
      <c r="N190" s="343"/>
      <c r="O190" s="343"/>
      <c r="P190" s="343"/>
      <c r="Q190" s="343"/>
      <c r="R190" s="343"/>
      <c r="S190" s="343"/>
      <c r="T190" s="343"/>
      <c r="U190" s="343"/>
      <c r="V190" s="343"/>
      <c r="W190" s="343"/>
    </row>
    <row r="191" spans="1:23" ht="16.5" customHeight="1" thickBot="1" x14ac:dyDescent="0.25">
      <c r="A191" s="352" t="str">
        <f>IF(F191&lt;&gt;"",1+MAX($A$6:A190),"")</f>
        <v/>
      </c>
      <c r="B191" s="123"/>
      <c r="C191" s="364"/>
      <c r="D191" s="365"/>
      <c r="E191" s="366" t="s">
        <v>514</v>
      </c>
      <c r="F191" s="435"/>
      <c r="G191" s="431"/>
      <c r="H191" s="430"/>
      <c r="I191" s="432"/>
      <c r="J191" s="134"/>
      <c r="K191" s="428"/>
      <c r="L191" s="429"/>
      <c r="M191" s="345"/>
      <c r="N191" s="345"/>
      <c r="O191" s="345"/>
      <c r="P191" s="345"/>
      <c r="Q191" s="345"/>
      <c r="R191" s="343"/>
      <c r="S191" s="343"/>
      <c r="T191" s="343"/>
      <c r="U191" s="343"/>
      <c r="V191" s="343"/>
      <c r="W191" s="343"/>
    </row>
    <row r="192" spans="1:23" x14ac:dyDescent="0.2">
      <c r="A192" s="352">
        <f>IF(F192&lt;&gt;"",1+MAX($A$6:A191),"")</f>
        <v>146</v>
      </c>
      <c r="B192" s="367" t="s">
        <v>515</v>
      </c>
      <c r="C192" s="364"/>
      <c r="D192" s="368"/>
      <c r="E192" s="378" t="s">
        <v>669</v>
      </c>
      <c r="F192" s="128">
        <v>238.61</v>
      </c>
      <c r="G192" s="436">
        <v>0.1</v>
      </c>
      <c r="H192" s="140">
        <f>F192*(1+G192)</f>
        <v>262.47100000000006</v>
      </c>
      <c r="I192" s="141" t="s">
        <v>15</v>
      </c>
      <c r="J192" s="438">
        <f t="shared" ref="J192" si="99">J$113</f>
        <v>0</v>
      </c>
      <c r="K192" s="437">
        <f t="shared" ref="K192:K194" si="100">J192*H192</f>
        <v>0</v>
      </c>
      <c r="L192" s="429"/>
      <c r="M192" s="343"/>
      <c r="N192" s="376"/>
      <c r="O192" s="343"/>
      <c r="P192" s="343"/>
      <c r="Q192" s="343"/>
      <c r="R192" s="343"/>
      <c r="S192" s="343"/>
      <c r="T192" s="343"/>
      <c r="U192" s="343"/>
      <c r="V192" s="343"/>
      <c r="W192" s="343"/>
    </row>
    <row r="193" spans="1:23" x14ac:dyDescent="0.2">
      <c r="A193" s="352">
        <f>IF(F193&lt;&gt;"",1+MAX($A$6:A192),"")</f>
        <v>147</v>
      </c>
      <c r="B193" s="367" t="s">
        <v>515</v>
      </c>
      <c r="C193" s="364"/>
      <c r="D193" s="368"/>
      <c r="E193" s="378" t="s">
        <v>670</v>
      </c>
      <c r="F193" s="128">
        <v>1137.54</v>
      </c>
      <c r="G193" s="436">
        <v>0.1</v>
      </c>
      <c r="H193" s="140">
        <f>F193*(1+G193)</f>
        <v>1251.2940000000001</v>
      </c>
      <c r="I193" s="141" t="s">
        <v>15</v>
      </c>
      <c r="J193" s="438">
        <f t="shared" ref="J193" si="101">J$116</f>
        <v>0</v>
      </c>
      <c r="K193" s="437">
        <f t="shared" si="100"/>
        <v>0</v>
      </c>
      <c r="L193" s="429"/>
      <c r="M193" s="343"/>
      <c r="N193" s="343"/>
      <c r="O193" s="343"/>
      <c r="P193" s="343"/>
      <c r="Q193" s="343"/>
      <c r="R193" s="343"/>
      <c r="S193" s="343"/>
      <c r="T193" s="343"/>
      <c r="U193" s="343"/>
      <c r="V193" s="343"/>
      <c r="W193" s="343"/>
    </row>
    <row r="194" spans="1:23" x14ac:dyDescent="0.2">
      <c r="A194" s="352">
        <f>IF(F194&lt;&gt;"",1+MAX($A$6:A193),"")</f>
        <v>148</v>
      </c>
      <c r="B194" s="367" t="s">
        <v>515</v>
      </c>
      <c r="C194" s="364"/>
      <c r="D194" s="368"/>
      <c r="E194" s="378" t="s">
        <v>671</v>
      </c>
      <c r="F194" s="128">
        <v>18.55</v>
      </c>
      <c r="G194" s="436">
        <v>0.1</v>
      </c>
      <c r="H194" s="140">
        <f>F194*(1+G194)</f>
        <v>20.405000000000001</v>
      </c>
      <c r="I194" s="141" t="s">
        <v>15</v>
      </c>
      <c r="J194" s="438">
        <f t="shared" ref="J194" si="102">J$117</f>
        <v>0</v>
      </c>
      <c r="K194" s="437">
        <f t="shared" si="100"/>
        <v>0</v>
      </c>
      <c r="L194" s="429"/>
      <c r="M194" s="343"/>
      <c r="N194" s="376"/>
      <c r="O194" s="343"/>
      <c r="P194" s="343"/>
      <c r="Q194" s="343"/>
      <c r="R194" s="343"/>
      <c r="S194" s="343"/>
      <c r="T194" s="343"/>
      <c r="U194" s="343"/>
      <c r="V194" s="343"/>
      <c r="W194" s="343"/>
    </row>
    <row r="195" spans="1:23" x14ac:dyDescent="0.2">
      <c r="A195" s="352" t="str">
        <f>IF(F195&lt;&gt;"",1+MAX($A$6:A194),"")</f>
        <v/>
      </c>
      <c r="B195" s="141"/>
      <c r="C195" s="364"/>
      <c r="D195" s="370"/>
      <c r="E195" s="371"/>
      <c r="F195" s="430"/>
      <c r="G195" s="431"/>
      <c r="H195" s="430"/>
      <c r="I195" s="432"/>
      <c r="J195" s="134"/>
      <c r="K195" s="433"/>
      <c r="L195" s="434"/>
      <c r="M195" s="343"/>
      <c r="N195" s="343"/>
      <c r="O195" s="343"/>
      <c r="P195" s="343"/>
      <c r="Q195" s="343"/>
      <c r="R195" s="343"/>
      <c r="S195" s="343"/>
      <c r="T195" s="343"/>
      <c r="U195" s="343"/>
      <c r="V195" s="343"/>
      <c r="W195" s="343"/>
    </row>
    <row r="196" spans="1:23" x14ac:dyDescent="0.2">
      <c r="A196" s="352">
        <f>IF(F196&lt;&gt;"",1+MAX($A$6:A195),"")</f>
        <v>149</v>
      </c>
      <c r="B196" s="367" t="s">
        <v>515</v>
      </c>
      <c r="C196" s="364"/>
      <c r="D196" s="368"/>
      <c r="E196" s="378" t="s">
        <v>672</v>
      </c>
      <c r="F196" s="128">
        <v>2770.44</v>
      </c>
      <c r="G196" s="436">
        <v>0.1</v>
      </c>
      <c r="H196" s="140">
        <f>F196*(1+G196)</f>
        <v>3047.4840000000004</v>
      </c>
      <c r="I196" s="141" t="s">
        <v>15</v>
      </c>
      <c r="J196" s="438">
        <f t="shared" ref="J196" si="103">J$113</f>
        <v>0</v>
      </c>
      <c r="K196" s="437">
        <f t="shared" ref="K196:K199" si="104">J196*H196</f>
        <v>0</v>
      </c>
      <c r="L196" s="429"/>
      <c r="M196" s="343"/>
      <c r="N196" s="343"/>
      <c r="O196" s="343"/>
      <c r="P196" s="343"/>
      <c r="Q196" s="343"/>
      <c r="R196" s="343"/>
      <c r="S196" s="343"/>
      <c r="T196" s="343"/>
      <c r="U196" s="343"/>
      <c r="V196" s="343"/>
      <c r="W196" s="343"/>
    </row>
    <row r="197" spans="1:23" x14ac:dyDescent="0.2">
      <c r="A197" s="352">
        <f>IF(F197&lt;&gt;"",1+MAX($A$6:A196),"")</f>
        <v>150</v>
      </c>
      <c r="B197" s="367" t="s">
        <v>515</v>
      </c>
      <c r="C197" s="364"/>
      <c r="D197" s="368"/>
      <c r="E197" s="378" t="s">
        <v>673</v>
      </c>
      <c r="F197" s="128">
        <v>374.48</v>
      </c>
      <c r="G197" s="436">
        <v>0.1</v>
      </c>
      <c r="H197" s="140">
        <f>F197*(1+G197)</f>
        <v>411.92800000000005</v>
      </c>
      <c r="I197" s="141" t="s">
        <v>15</v>
      </c>
      <c r="J197" s="438">
        <f t="shared" ref="J197" si="105">J$116</f>
        <v>0</v>
      </c>
      <c r="K197" s="437">
        <f t="shared" si="104"/>
        <v>0</v>
      </c>
      <c r="L197" s="429"/>
      <c r="M197" s="343"/>
      <c r="N197" s="376"/>
      <c r="O197" s="343"/>
      <c r="P197" s="343"/>
      <c r="Q197" s="343"/>
      <c r="R197" s="343"/>
      <c r="S197" s="343"/>
      <c r="T197" s="343"/>
      <c r="U197" s="343"/>
      <c r="V197" s="343"/>
      <c r="W197" s="343"/>
    </row>
    <row r="198" spans="1:23" x14ac:dyDescent="0.2">
      <c r="A198" s="352">
        <f>IF(F198&lt;&gt;"",1+MAX($A$6:A197),"")</f>
        <v>151</v>
      </c>
      <c r="B198" s="367" t="s">
        <v>515</v>
      </c>
      <c r="C198" s="364"/>
      <c r="D198" s="368"/>
      <c r="E198" s="378" t="s">
        <v>674</v>
      </c>
      <c r="F198" s="128">
        <v>100.5</v>
      </c>
      <c r="G198" s="436">
        <v>0.1</v>
      </c>
      <c r="H198" s="140">
        <f>F198*(1+G198)</f>
        <v>110.55000000000001</v>
      </c>
      <c r="I198" s="141" t="s">
        <v>15</v>
      </c>
      <c r="J198" s="438">
        <f t="shared" ref="J198" si="106">J$117</f>
        <v>0</v>
      </c>
      <c r="K198" s="437">
        <f t="shared" si="104"/>
        <v>0</v>
      </c>
      <c r="L198" s="429"/>
      <c r="M198" s="343"/>
      <c r="N198" s="343"/>
      <c r="O198" s="343"/>
      <c r="P198" s="343"/>
      <c r="Q198" s="343"/>
      <c r="R198" s="343"/>
      <c r="S198" s="343"/>
      <c r="T198" s="343"/>
      <c r="U198" s="343"/>
      <c r="V198" s="343"/>
      <c r="W198" s="343"/>
    </row>
    <row r="199" spans="1:23" x14ac:dyDescent="0.2">
      <c r="A199" s="352">
        <f>IF(F199&lt;&gt;"",1+MAX($A$6:A198),"")</f>
        <v>152</v>
      </c>
      <c r="B199" s="367" t="s">
        <v>515</v>
      </c>
      <c r="C199" s="364"/>
      <c r="D199" s="368"/>
      <c r="E199" s="378" t="s">
        <v>675</v>
      </c>
      <c r="F199" s="128">
        <v>35.64</v>
      </c>
      <c r="G199" s="436">
        <v>0.1</v>
      </c>
      <c r="H199" s="140">
        <f>F199*(1+G199)</f>
        <v>39.204000000000001</v>
      </c>
      <c r="I199" s="141" t="s">
        <v>15</v>
      </c>
      <c r="J199" s="817">
        <v>0</v>
      </c>
      <c r="K199" s="437">
        <f t="shared" si="104"/>
        <v>0</v>
      </c>
      <c r="L199" s="429"/>
      <c r="M199" s="343"/>
      <c r="N199" s="376"/>
      <c r="O199" s="343"/>
      <c r="P199" s="343"/>
      <c r="Q199" s="343"/>
      <c r="R199" s="343"/>
      <c r="S199" s="343"/>
      <c r="T199" s="343"/>
      <c r="U199" s="343"/>
      <c r="V199" s="343"/>
      <c r="W199" s="343"/>
    </row>
    <row r="200" spans="1:23" ht="16.5" thickBot="1" x14ac:dyDescent="0.25">
      <c r="A200" s="352" t="str">
        <f>IF(F200&lt;&gt;"",1+MAX($A$6:A199),"")</f>
        <v/>
      </c>
      <c r="B200" s="141"/>
      <c r="C200" s="364"/>
      <c r="D200" s="370"/>
      <c r="E200" s="371"/>
      <c r="F200" s="430"/>
      <c r="G200" s="431"/>
      <c r="H200" s="430"/>
      <c r="I200" s="432"/>
      <c r="J200" s="134"/>
      <c r="K200" s="433"/>
      <c r="L200" s="434"/>
      <c r="M200" s="343"/>
      <c r="N200" s="343"/>
      <c r="O200" s="343"/>
      <c r="P200" s="343"/>
      <c r="Q200" s="343"/>
      <c r="R200" s="343"/>
      <c r="S200" s="343"/>
      <c r="T200" s="343"/>
      <c r="U200" s="343"/>
      <c r="V200" s="343"/>
      <c r="W200" s="343"/>
    </row>
    <row r="201" spans="1:23" ht="16.5" customHeight="1" thickBot="1" x14ac:dyDescent="0.25">
      <c r="A201" s="352" t="str">
        <f>IF(F201&lt;&gt;"",1+MAX($A$6:A200),"")</f>
        <v/>
      </c>
      <c r="B201" s="123"/>
      <c r="C201" s="364"/>
      <c r="D201" s="365"/>
      <c r="E201" s="366" t="s">
        <v>539</v>
      </c>
      <c r="F201" s="435"/>
      <c r="G201" s="431"/>
      <c r="H201" s="430"/>
      <c r="I201" s="432"/>
      <c r="J201" s="134"/>
      <c r="K201" s="428"/>
      <c r="L201" s="429"/>
      <c r="M201" s="345"/>
      <c r="N201" s="345"/>
      <c r="O201" s="345"/>
      <c r="P201" s="345"/>
      <c r="Q201" s="345"/>
      <c r="R201" s="343"/>
      <c r="S201" s="343"/>
      <c r="T201" s="343"/>
      <c r="U201" s="343"/>
      <c r="V201" s="343"/>
      <c r="W201" s="343"/>
    </row>
    <row r="202" spans="1:23" ht="31.5" x14ac:dyDescent="0.2">
      <c r="A202" s="352">
        <f>IF(F202&lt;&gt;"",1+MAX($A$6:A201),"")</f>
        <v>153</v>
      </c>
      <c r="B202" s="367" t="s">
        <v>676</v>
      </c>
      <c r="C202" s="364"/>
      <c r="D202" s="368"/>
      <c r="E202" s="378" t="s">
        <v>677</v>
      </c>
      <c r="F202" s="128">
        <f>3*7</f>
        <v>21</v>
      </c>
      <c r="G202" s="436">
        <v>0.1</v>
      </c>
      <c r="H202" s="140">
        <f>F202*(1+G202)</f>
        <v>23.1</v>
      </c>
      <c r="I202" s="141" t="s">
        <v>15</v>
      </c>
      <c r="J202" s="438">
        <f t="shared" ref="J202" si="107">J$113</f>
        <v>0</v>
      </c>
      <c r="K202" s="437">
        <f t="shared" ref="K202:K203" si="108">J202*H202</f>
        <v>0</v>
      </c>
      <c r="L202" s="429"/>
      <c r="M202" s="343"/>
      <c r="N202" s="376"/>
      <c r="O202" s="343"/>
      <c r="P202" s="343"/>
      <c r="Q202" s="343"/>
      <c r="R202" s="343"/>
      <c r="S202" s="343"/>
      <c r="T202" s="343"/>
      <c r="U202" s="343"/>
      <c r="V202" s="343"/>
      <c r="W202" s="343"/>
    </row>
    <row r="203" spans="1:23" ht="31.5" x14ac:dyDescent="0.2">
      <c r="A203" s="352">
        <f>IF(F203&lt;&gt;"",1+MAX($A$6:A202),"")</f>
        <v>154</v>
      </c>
      <c r="B203" s="367" t="s">
        <v>676</v>
      </c>
      <c r="C203" s="364"/>
      <c r="D203" s="368"/>
      <c r="E203" s="378" t="s">
        <v>678</v>
      </c>
      <c r="F203" s="128">
        <f>3*5</f>
        <v>15</v>
      </c>
      <c r="G203" s="436">
        <v>0.1</v>
      </c>
      <c r="H203" s="140">
        <f>F203*(1+G203)</f>
        <v>16.5</v>
      </c>
      <c r="I203" s="141" t="s">
        <v>15</v>
      </c>
      <c r="J203" s="438">
        <f t="shared" ref="J203" si="109">J$116</f>
        <v>0</v>
      </c>
      <c r="K203" s="437">
        <f t="shared" si="108"/>
        <v>0</v>
      </c>
      <c r="L203" s="429"/>
      <c r="M203" s="343"/>
      <c r="N203" s="343"/>
      <c r="O203" s="343"/>
      <c r="P203" s="343"/>
      <c r="Q203" s="343"/>
      <c r="R203" s="343"/>
      <c r="S203" s="343"/>
      <c r="T203" s="343"/>
      <c r="U203" s="343"/>
      <c r="V203" s="343"/>
      <c r="W203" s="343"/>
    </row>
    <row r="204" spans="1:23" x14ac:dyDescent="0.2">
      <c r="A204" s="352" t="str">
        <f>IF(F204&lt;&gt;"",1+MAX($A$6:A203),"")</f>
        <v/>
      </c>
      <c r="B204" s="141"/>
      <c r="C204" s="364"/>
      <c r="D204" s="370"/>
      <c r="E204" s="371"/>
      <c r="F204" s="430"/>
      <c r="G204" s="431"/>
      <c r="H204" s="430"/>
      <c r="I204" s="432"/>
      <c r="J204" s="134"/>
      <c r="K204" s="433"/>
      <c r="L204" s="434"/>
      <c r="M204" s="343"/>
      <c r="N204" s="343"/>
      <c r="O204" s="343"/>
      <c r="P204" s="343"/>
      <c r="Q204" s="343"/>
      <c r="R204" s="343"/>
      <c r="S204" s="343"/>
      <c r="T204" s="343"/>
      <c r="U204" s="343"/>
      <c r="V204" s="343"/>
      <c r="W204" s="343"/>
    </row>
    <row r="205" spans="1:23" ht="31.5" x14ac:dyDescent="0.2">
      <c r="A205" s="352">
        <f>IF(F205&lt;&gt;"",1+MAX($A$6:A204),"")</f>
        <v>155</v>
      </c>
      <c r="B205" s="367" t="s">
        <v>676</v>
      </c>
      <c r="C205" s="364"/>
      <c r="D205" s="368"/>
      <c r="E205" s="378" t="s">
        <v>679</v>
      </c>
      <c r="F205" s="128">
        <v>1785</v>
      </c>
      <c r="G205" s="436">
        <v>0.1</v>
      </c>
      <c r="H205" s="140">
        <f>F205*(1+G205)</f>
        <v>1963.5000000000002</v>
      </c>
      <c r="I205" s="141" t="s">
        <v>15</v>
      </c>
      <c r="J205" s="438">
        <f t="shared" ref="J205" si="110">J$113</f>
        <v>0</v>
      </c>
      <c r="K205" s="437">
        <f t="shared" ref="K205:K207" si="111">J205*H205</f>
        <v>0</v>
      </c>
      <c r="L205" s="429"/>
      <c r="M205" s="343"/>
      <c r="N205" s="343"/>
      <c r="O205" s="343"/>
      <c r="P205" s="343"/>
      <c r="Q205" s="343"/>
      <c r="R205" s="343"/>
      <c r="S205" s="343"/>
      <c r="T205" s="343"/>
      <c r="U205" s="343"/>
      <c r="V205" s="343"/>
      <c r="W205" s="343"/>
    </row>
    <row r="206" spans="1:23" ht="31.5" x14ac:dyDescent="0.2">
      <c r="A206" s="352">
        <f>IF(F206&lt;&gt;"",1+MAX($A$6:A205),"")</f>
        <v>156</v>
      </c>
      <c r="B206" s="367" t="s">
        <v>676</v>
      </c>
      <c r="C206" s="364"/>
      <c r="D206" s="368"/>
      <c r="E206" s="378" t="s">
        <v>680</v>
      </c>
      <c r="F206" s="128">
        <v>76</v>
      </c>
      <c r="G206" s="436">
        <v>0.1</v>
      </c>
      <c r="H206" s="140">
        <f>F206*(1+G206)</f>
        <v>83.600000000000009</v>
      </c>
      <c r="I206" s="141" t="s">
        <v>15</v>
      </c>
      <c r="J206" s="438">
        <f t="shared" ref="J206" si="112">J$116</f>
        <v>0</v>
      </c>
      <c r="K206" s="437">
        <f t="shared" si="111"/>
        <v>0</v>
      </c>
      <c r="L206" s="429"/>
      <c r="M206" s="343"/>
      <c r="N206" s="376"/>
      <c r="O206" s="343"/>
      <c r="P206" s="343"/>
      <c r="Q206" s="343"/>
      <c r="R206" s="343"/>
      <c r="S206" s="343"/>
      <c r="T206" s="343"/>
      <c r="U206" s="343"/>
      <c r="V206" s="343"/>
      <c r="W206" s="343"/>
    </row>
    <row r="207" spans="1:23" ht="31.5" x14ac:dyDescent="0.2">
      <c r="A207" s="352">
        <f>IF(F207&lt;&gt;"",1+MAX($A$6:A206),"")</f>
        <v>157</v>
      </c>
      <c r="B207" s="367" t="s">
        <v>676</v>
      </c>
      <c r="C207" s="364"/>
      <c r="D207" s="368"/>
      <c r="E207" s="378" t="s">
        <v>681</v>
      </c>
      <c r="F207" s="128">
        <v>20</v>
      </c>
      <c r="G207" s="436">
        <v>0.1</v>
      </c>
      <c r="H207" s="140">
        <f>F207*(1+G207)</f>
        <v>22</v>
      </c>
      <c r="I207" s="141" t="s">
        <v>15</v>
      </c>
      <c r="J207" s="438">
        <f t="shared" ref="J207" si="113">J$117</f>
        <v>0</v>
      </c>
      <c r="K207" s="437">
        <f t="shared" si="111"/>
        <v>0</v>
      </c>
      <c r="L207" s="429"/>
      <c r="M207" s="343"/>
      <c r="N207" s="343"/>
      <c r="O207" s="343"/>
      <c r="P207" s="343"/>
      <c r="Q207" s="343"/>
      <c r="R207" s="343"/>
      <c r="S207" s="343"/>
      <c r="T207" s="343"/>
      <c r="U207" s="343"/>
      <c r="V207" s="343"/>
      <c r="W207" s="343"/>
    </row>
    <row r="208" spans="1:23" ht="16.5" thickBot="1" x14ac:dyDescent="0.25">
      <c r="A208" s="352" t="str">
        <f>IF(F208&lt;&gt;"",1+MAX($A$6:A207),"")</f>
        <v/>
      </c>
      <c r="B208" s="141"/>
      <c r="C208" s="364"/>
      <c r="D208" s="370"/>
      <c r="E208" s="371"/>
      <c r="F208" s="430"/>
      <c r="G208" s="431"/>
      <c r="H208" s="430"/>
      <c r="I208" s="432"/>
      <c r="J208" s="134"/>
      <c r="K208" s="433"/>
      <c r="L208" s="434"/>
      <c r="M208" s="343"/>
      <c r="N208" s="343"/>
      <c r="O208" s="343"/>
      <c r="P208" s="343"/>
      <c r="Q208" s="343"/>
      <c r="R208" s="343"/>
      <c r="S208" s="343"/>
      <c r="T208" s="343"/>
      <c r="U208" s="343"/>
      <c r="V208" s="343"/>
      <c r="W208" s="343"/>
    </row>
    <row r="209" spans="1:23" ht="16.5" customHeight="1" thickBot="1" x14ac:dyDescent="0.25">
      <c r="A209" s="352" t="str">
        <f>IF(F209&lt;&gt;"",1+MAX($A$6:A208),"")</f>
        <v/>
      </c>
      <c r="B209" s="123"/>
      <c r="C209" s="364"/>
      <c r="D209" s="365"/>
      <c r="E209" s="366" t="s">
        <v>566</v>
      </c>
      <c r="F209" s="435"/>
      <c r="G209" s="431"/>
      <c r="H209" s="430"/>
      <c r="I209" s="432"/>
      <c r="J209" s="134"/>
      <c r="K209" s="428"/>
      <c r="L209" s="429"/>
      <c r="M209" s="345"/>
      <c r="N209" s="345"/>
      <c r="O209" s="345"/>
      <c r="P209" s="345"/>
      <c r="Q209" s="345"/>
      <c r="R209" s="343"/>
      <c r="S209" s="343"/>
      <c r="T209" s="343"/>
      <c r="U209" s="343"/>
      <c r="V209" s="343"/>
      <c r="W209" s="343"/>
    </row>
    <row r="210" spans="1:23" ht="31.5" x14ac:dyDescent="0.2">
      <c r="A210" s="352">
        <f>IF(F210&lt;&gt;"",1+MAX($A$6:A209),"")</f>
        <v>158</v>
      </c>
      <c r="B210" s="367" t="s">
        <v>676</v>
      </c>
      <c r="C210" s="364"/>
      <c r="D210" s="368"/>
      <c r="E210" s="373" t="s">
        <v>682</v>
      </c>
      <c r="F210" s="128">
        <v>2</v>
      </c>
      <c r="G210" s="436">
        <v>0</v>
      </c>
      <c r="H210" s="140">
        <f t="shared" ref="H210:H231" si="114">F210*(1+G210)</f>
        <v>2</v>
      </c>
      <c r="I210" s="141" t="s">
        <v>20</v>
      </c>
      <c r="J210" s="817">
        <v>0</v>
      </c>
      <c r="K210" s="437">
        <f t="shared" ref="K210:K231" si="115">J210*H210</f>
        <v>0</v>
      </c>
      <c r="L210" s="429"/>
      <c r="M210" s="343"/>
      <c r="N210" s="343"/>
      <c r="O210" s="343"/>
      <c r="P210" s="343"/>
      <c r="Q210" s="343"/>
      <c r="R210" s="343"/>
      <c r="S210" s="343"/>
      <c r="T210" s="343"/>
      <c r="U210" s="343"/>
      <c r="V210" s="343"/>
      <c r="W210" s="343"/>
    </row>
    <row r="211" spans="1:23" ht="31.5" x14ac:dyDescent="0.2">
      <c r="A211" s="352">
        <f>IF(F211&lt;&gt;"",1+MAX($A$6:A210),"")</f>
        <v>159</v>
      </c>
      <c r="B211" s="367" t="s">
        <v>676</v>
      </c>
      <c r="C211" s="364"/>
      <c r="D211" s="368"/>
      <c r="E211" s="373" t="s">
        <v>683</v>
      </c>
      <c r="F211" s="128">
        <v>2</v>
      </c>
      <c r="G211" s="436">
        <v>0</v>
      </c>
      <c r="H211" s="140">
        <f t="shared" si="114"/>
        <v>2</v>
      </c>
      <c r="I211" s="141" t="s">
        <v>20</v>
      </c>
      <c r="J211" s="817">
        <v>0</v>
      </c>
      <c r="K211" s="437">
        <f t="shared" si="115"/>
        <v>0</v>
      </c>
      <c r="L211" s="429"/>
      <c r="M211" s="343"/>
      <c r="N211" s="343"/>
      <c r="O211" s="343"/>
      <c r="P211" s="343"/>
      <c r="Q211" s="343"/>
      <c r="R211" s="343"/>
      <c r="S211" s="343"/>
      <c r="T211" s="343"/>
      <c r="U211" s="343"/>
      <c r="V211" s="343"/>
      <c r="W211" s="343"/>
    </row>
    <row r="212" spans="1:23" ht="31.5" x14ac:dyDescent="0.2">
      <c r="A212" s="352">
        <f>IF(F212&lt;&gt;"",1+MAX($A$6:A211),"")</f>
        <v>160</v>
      </c>
      <c r="B212" s="367" t="s">
        <v>676</v>
      </c>
      <c r="C212" s="364"/>
      <c r="D212" s="368"/>
      <c r="E212" s="373" t="s">
        <v>684</v>
      </c>
      <c r="F212" s="128">
        <v>3</v>
      </c>
      <c r="G212" s="436">
        <v>0</v>
      </c>
      <c r="H212" s="140">
        <f t="shared" si="114"/>
        <v>3</v>
      </c>
      <c r="I212" s="141" t="s">
        <v>20</v>
      </c>
      <c r="J212" s="817">
        <v>0</v>
      </c>
      <c r="K212" s="437">
        <f t="shared" si="115"/>
        <v>0</v>
      </c>
      <c r="L212" s="429"/>
      <c r="M212" s="343"/>
      <c r="N212" s="343"/>
      <c r="O212" s="343"/>
      <c r="P212" s="343"/>
      <c r="Q212" s="343"/>
      <c r="R212" s="343"/>
      <c r="S212" s="343"/>
      <c r="T212" s="343"/>
      <c r="U212" s="343"/>
      <c r="V212" s="343"/>
      <c r="W212" s="343"/>
    </row>
    <row r="213" spans="1:23" ht="31.5" x14ac:dyDescent="0.2">
      <c r="A213" s="352">
        <f>IF(F213&lt;&gt;"",1+MAX($A$6:A212),"")</f>
        <v>161</v>
      </c>
      <c r="B213" s="367" t="s">
        <v>676</v>
      </c>
      <c r="C213" s="364"/>
      <c r="D213" s="368"/>
      <c r="E213" s="373" t="s">
        <v>645</v>
      </c>
      <c r="F213" s="128">
        <v>50</v>
      </c>
      <c r="G213" s="436">
        <v>0</v>
      </c>
      <c r="H213" s="140">
        <f t="shared" si="114"/>
        <v>50</v>
      </c>
      <c r="I213" s="141" t="s">
        <v>20</v>
      </c>
      <c r="J213" s="830">
        <f>J$165</f>
        <v>0</v>
      </c>
      <c r="K213" s="437">
        <f t="shared" si="115"/>
        <v>0</v>
      </c>
      <c r="L213" s="429"/>
      <c r="M213" s="343"/>
      <c r="N213" s="343"/>
      <c r="O213" s="343"/>
      <c r="P213" s="343"/>
      <c r="Q213" s="343"/>
      <c r="R213" s="343"/>
      <c r="S213" s="343"/>
      <c r="T213" s="343"/>
      <c r="U213" s="343"/>
      <c r="V213" s="343"/>
      <c r="W213" s="343"/>
    </row>
    <row r="214" spans="1:23" ht="31.5" x14ac:dyDescent="0.2">
      <c r="A214" s="352">
        <f>IF(F214&lt;&gt;"",1+MAX($A$6:A213),"")</f>
        <v>162</v>
      </c>
      <c r="B214" s="367" t="s">
        <v>676</v>
      </c>
      <c r="C214" s="364"/>
      <c r="D214" s="368"/>
      <c r="E214" s="373" t="s">
        <v>685</v>
      </c>
      <c r="F214" s="128">
        <v>14</v>
      </c>
      <c r="G214" s="436">
        <v>0</v>
      </c>
      <c r="H214" s="140">
        <f t="shared" si="114"/>
        <v>14</v>
      </c>
      <c r="I214" s="141" t="s">
        <v>20</v>
      </c>
      <c r="J214" s="817">
        <v>0</v>
      </c>
      <c r="K214" s="437">
        <f t="shared" si="115"/>
        <v>0</v>
      </c>
      <c r="L214" s="429"/>
      <c r="M214" s="343"/>
      <c r="N214" s="343"/>
      <c r="O214" s="343"/>
      <c r="P214" s="343"/>
      <c r="Q214" s="343"/>
      <c r="R214" s="343"/>
      <c r="S214" s="343"/>
      <c r="T214" s="343"/>
      <c r="U214" s="343"/>
      <c r="V214" s="343"/>
      <c r="W214" s="343"/>
    </row>
    <row r="215" spans="1:23" ht="31.5" x14ac:dyDescent="0.2">
      <c r="A215" s="352">
        <f>IF(F215&lt;&gt;"",1+MAX($A$6:A214),"")</f>
        <v>163</v>
      </c>
      <c r="B215" s="367" t="s">
        <v>676</v>
      </c>
      <c r="C215" s="364"/>
      <c r="D215" s="368"/>
      <c r="E215" s="373" t="s">
        <v>686</v>
      </c>
      <c r="F215" s="128">
        <v>1</v>
      </c>
      <c r="G215" s="436">
        <v>0</v>
      </c>
      <c r="H215" s="140">
        <f t="shared" si="114"/>
        <v>1</v>
      </c>
      <c r="I215" s="141" t="s">
        <v>20</v>
      </c>
      <c r="J215" s="817">
        <v>0</v>
      </c>
      <c r="K215" s="437">
        <f t="shared" si="115"/>
        <v>0</v>
      </c>
      <c r="L215" s="429"/>
      <c r="M215" s="343"/>
      <c r="N215" s="343"/>
      <c r="O215" s="343"/>
      <c r="P215" s="343"/>
      <c r="Q215" s="343"/>
      <c r="R215" s="343"/>
      <c r="S215" s="343"/>
      <c r="T215" s="343"/>
      <c r="U215" s="343"/>
      <c r="V215" s="343"/>
      <c r="W215" s="343"/>
    </row>
    <row r="216" spans="1:23" ht="31.5" x14ac:dyDescent="0.2">
      <c r="A216" s="352">
        <f>IF(F216&lt;&gt;"",1+MAX($A$6:A215),"")</f>
        <v>164</v>
      </c>
      <c r="B216" s="367" t="s">
        <v>676</v>
      </c>
      <c r="C216" s="364"/>
      <c r="D216" s="368"/>
      <c r="E216" s="373" t="s">
        <v>687</v>
      </c>
      <c r="F216" s="128">
        <v>4</v>
      </c>
      <c r="G216" s="436">
        <v>0</v>
      </c>
      <c r="H216" s="140">
        <f t="shared" si="114"/>
        <v>4</v>
      </c>
      <c r="I216" s="141" t="s">
        <v>20</v>
      </c>
      <c r="J216" s="817">
        <v>0</v>
      </c>
      <c r="K216" s="437">
        <f t="shared" si="115"/>
        <v>0</v>
      </c>
      <c r="L216" s="429"/>
      <c r="M216" s="343"/>
      <c r="N216" s="343"/>
      <c r="O216" s="343"/>
      <c r="P216" s="343"/>
      <c r="Q216" s="343"/>
      <c r="R216" s="343"/>
      <c r="S216" s="343"/>
      <c r="T216" s="343"/>
      <c r="U216" s="343"/>
      <c r="V216" s="343"/>
      <c r="W216" s="343"/>
    </row>
    <row r="217" spans="1:23" ht="31.5" x14ac:dyDescent="0.2">
      <c r="A217" s="352">
        <f>IF(F217&lt;&gt;"",1+MAX($A$6:A216),"")</f>
        <v>165</v>
      </c>
      <c r="B217" s="367" t="s">
        <v>676</v>
      </c>
      <c r="C217" s="364"/>
      <c r="D217" s="368"/>
      <c r="E217" s="373" t="s">
        <v>649</v>
      </c>
      <c r="F217" s="128">
        <v>4</v>
      </c>
      <c r="G217" s="436">
        <v>0</v>
      </c>
      <c r="H217" s="140">
        <f t="shared" si="114"/>
        <v>4</v>
      </c>
      <c r="I217" s="141" t="s">
        <v>20</v>
      </c>
      <c r="J217" s="830">
        <f t="shared" ref="J217:J218" si="116">J$170</f>
        <v>0</v>
      </c>
      <c r="K217" s="437">
        <f t="shared" si="115"/>
        <v>0</v>
      </c>
      <c r="L217" s="429"/>
      <c r="M217" s="343"/>
      <c r="N217" s="343"/>
      <c r="O217" s="343"/>
      <c r="P217" s="343"/>
      <c r="Q217" s="343"/>
      <c r="R217" s="343"/>
      <c r="S217" s="343"/>
      <c r="T217" s="343"/>
      <c r="U217" s="343"/>
      <c r="V217" s="343"/>
      <c r="W217" s="343"/>
    </row>
    <row r="218" spans="1:23" ht="31.5" x14ac:dyDescent="0.2">
      <c r="A218" s="352">
        <f>IF(F218&lt;&gt;"",1+MAX($A$6:A217),"")</f>
        <v>166</v>
      </c>
      <c r="B218" s="367" t="s">
        <v>676</v>
      </c>
      <c r="C218" s="364"/>
      <c r="D218" s="368"/>
      <c r="E218" s="373" t="s">
        <v>650</v>
      </c>
      <c r="F218" s="128">
        <v>1</v>
      </c>
      <c r="G218" s="436">
        <v>0</v>
      </c>
      <c r="H218" s="140">
        <f t="shared" si="114"/>
        <v>1</v>
      </c>
      <c r="I218" s="141" t="s">
        <v>20</v>
      </c>
      <c r="J218" s="830">
        <f t="shared" si="116"/>
        <v>0</v>
      </c>
      <c r="K218" s="437">
        <f t="shared" si="115"/>
        <v>0</v>
      </c>
      <c r="L218" s="429"/>
      <c r="M218" s="343"/>
      <c r="N218" s="343"/>
      <c r="O218" s="343"/>
      <c r="P218" s="343"/>
      <c r="Q218" s="343"/>
      <c r="R218" s="343"/>
      <c r="S218" s="343"/>
      <c r="T218" s="343"/>
      <c r="U218" s="343"/>
      <c r="V218" s="343"/>
      <c r="W218" s="343"/>
    </row>
    <row r="219" spans="1:23" ht="31.5" x14ac:dyDescent="0.2">
      <c r="A219" s="352">
        <f>IF(F219&lt;&gt;"",1+MAX($A$6:A218),"")</f>
        <v>167</v>
      </c>
      <c r="B219" s="367" t="s">
        <v>676</v>
      </c>
      <c r="C219" s="364"/>
      <c r="D219" s="368"/>
      <c r="E219" s="373" t="s">
        <v>688</v>
      </c>
      <c r="F219" s="128">
        <v>1</v>
      </c>
      <c r="G219" s="436">
        <v>0</v>
      </c>
      <c r="H219" s="140">
        <f t="shared" si="114"/>
        <v>1</v>
      </c>
      <c r="I219" s="141" t="s">
        <v>20</v>
      </c>
      <c r="J219" s="817">
        <v>0</v>
      </c>
      <c r="K219" s="437">
        <f t="shared" si="115"/>
        <v>0</v>
      </c>
      <c r="L219" s="429"/>
      <c r="M219" s="343"/>
      <c r="N219" s="343"/>
      <c r="O219" s="343"/>
      <c r="P219" s="343"/>
      <c r="Q219" s="343"/>
      <c r="R219" s="343"/>
      <c r="S219" s="343"/>
      <c r="T219" s="343"/>
      <c r="U219" s="343"/>
      <c r="V219" s="343"/>
      <c r="W219" s="343"/>
    </row>
    <row r="220" spans="1:23" ht="31.5" x14ac:dyDescent="0.2">
      <c r="A220" s="352">
        <f>IF(F220&lt;&gt;"",1+MAX($A$6:A219),"")</f>
        <v>168</v>
      </c>
      <c r="B220" s="367" t="s">
        <v>676</v>
      </c>
      <c r="C220" s="364"/>
      <c r="D220" s="368"/>
      <c r="E220" s="373" t="s">
        <v>689</v>
      </c>
      <c r="F220" s="128">
        <v>1</v>
      </c>
      <c r="G220" s="436">
        <v>0</v>
      </c>
      <c r="H220" s="140">
        <f t="shared" si="114"/>
        <v>1</v>
      </c>
      <c r="I220" s="141" t="s">
        <v>20</v>
      </c>
      <c r="J220" s="817">
        <v>0</v>
      </c>
      <c r="K220" s="437">
        <f t="shared" si="115"/>
        <v>0</v>
      </c>
      <c r="L220" s="429"/>
      <c r="M220" s="343"/>
      <c r="N220" s="343"/>
      <c r="O220" s="343"/>
      <c r="P220" s="343"/>
      <c r="Q220" s="343"/>
      <c r="R220" s="343"/>
      <c r="S220" s="343"/>
      <c r="T220" s="343"/>
      <c r="U220" s="343"/>
      <c r="V220" s="343"/>
      <c r="W220" s="343"/>
    </row>
    <row r="221" spans="1:23" ht="31.5" x14ac:dyDescent="0.2">
      <c r="A221" s="352">
        <f>IF(F221&lt;&gt;"",1+MAX($A$6:A220),"")</f>
        <v>169</v>
      </c>
      <c r="B221" s="367" t="s">
        <v>676</v>
      </c>
      <c r="C221" s="364"/>
      <c r="D221" s="368"/>
      <c r="E221" s="373" t="s">
        <v>652</v>
      </c>
      <c r="F221" s="128">
        <v>1</v>
      </c>
      <c r="G221" s="436">
        <v>0</v>
      </c>
      <c r="H221" s="140">
        <f t="shared" si="114"/>
        <v>1</v>
      </c>
      <c r="I221" s="141" t="s">
        <v>20</v>
      </c>
      <c r="J221" s="830">
        <f>J$173</f>
        <v>0</v>
      </c>
      <c r="K221" s="437">
        <f t="shared" si="115"/>
        <v>0</v>
      </c>
      <c r="L221" s="429"/>
      <c r="M221" s="343"/>
      <c r="N221" s="343"/>
      <c r="O221" s="343"/>
      <c r="P221" s="343"/>
      <c r="Q221" s="343"/>
      <c r="R221" s="343"/>
      <c r="S221" s="343"/>
      <c r="T221" s="343"/>
      <c r="U221" s="343"/>
      <c r="V221" s="343"/>
      <c r="W221" s="343"/>
    </row>
    <row r="222" spans="1:23" ht="31.5" x14ac:dyDescent="0.2">
      <c r="A222" s="352">
        <f>IF(F222&lt;&gt;"",1+MAX($A$6:A221),"")</f>
        <v>170</v>
      </c>
      <c r="B222" s="367" t="s">
        <v>676</v>
      </c>
      <c r="C222" s="364"/>
      <c r="D222" s="368"/>
      <c r="E222" s="373" t="s">
        <v>690</v>
      </c>
      <c r="F222" s="128">
        <v>1</v>
      </c>
      <c r="G222" s="436">
        <v>0</v>
      </c>
      <c r="H222" s="140">
        <f t="shared" si="114"/>
        <v>1</v>
      </c>
      <c r="I222" s="141" t="s">
        <v>20</v>
      </c>
      <c r="J222" s="817">
        <v>0</v>
      </c>
      <c r="K222" s="437">
        <f t="shared" si="115"/>
        <v>0</v>
      </c>
      <c r="L222" s="429"/>
      <c r="M222" s="343"/>
      <c r="N222" s="343"/>
      <c r="O222" s="343"/>
      <c r="P222" s="343"/>
      <c r="Q222" s="343"/>
      <c r="R222" s="343"/>
      <c r="S222" s="343"/>
      <c r="T222" s="343"/>
      <c r="U222" s="343"/>
      <c r="V222" s="343"/>
      <c r="W222" s="343"/>
    </row>
    <row r="223" spans="1:23" ht="31.5" x14ac:dyDescent="0.2">
      <c r="A223" s="352">
        <f>IF(F223&lt;&gt;"",1+MAX($A$6:A222),"")</f>
        <v>171</v>
      </c>
      <c r="B223" s="367" t="s">
        <v>676</v>
      </c>
      <c r="C223" s="364"/>
      <c r="D223" s="368"/>
      <c r="E223" s="373" t="s">
        <v>691</v>
      </c>
      <c r="F223" s="128">
        <v>1</v>
      </c>
      <c r="G223" s="436">
        <v>0</v>
      </c>
      <c r="H223" s="140">
        <f t="shared" si="114"/>
        <v>1</v>
      </c>
      <c r="I223" s="141" t="s">
        <v>20</v>
      </c>
      <c r="J223" s="817">
        <v>0</v>
      </c>
      <c r="K223" s="437">
        <f t="shared" si="115"/>
        <v>0</v>
      </c>
      <c r="L223" s="429"/>
      <c r="M223" s="343"/>
      <c r="N223" s="343"/>
      <c r="O223" s="343"/>
      <c r="P223" s="343"/>
      <c r="Q223" s="343"/>
      <c r="R223" s="343"/>
      <c r="S223" s="343"/>
      <c r="T223" s="343"/>
      <c r="U223" s="343"/>
      <c r="V223" s="343"/>
      <c r="W223" s="343"/>
    </row>
    <row r="224" spans="1:23" ht="31.5" x14ac:dyDescent="0.2">
      <c r="A224" s="352">
        <f>IF(F224&lt;&gt;"",1+MAX($A$6:A223),"")</f>
        <v>172</v>
      </c>
      <c r="B224" s="367" t="s">
        <v>676</v>
      </c>
      <c r="C224" s="364"/>
      <c r="D224" s="368"/>
      <c r="E224" s="373" t="s">
        <v>692</v>
      </c>
      <c r="F224" s="128">
        <v>7</v>
      </c>
      <c r="G224" s="436">
        <v>0</v>
      </c>
      <c r="H224" s="140">
        <f t="shared" si="114"/>
        <v>7</v>
      </c>
      <c r="I224" s="141" t="s">
        <v>20</v>
      </c>
      <c r="J224" s="817">
        <v>0</v>
      </c>
      <c r="K224" s="437">
        <f t="shared" si="115"/>
        <v>0</v>
      </c>
      <c r="L224" s="429"/>
      <c r="M224" s="343"/>
      <c r="N224" s="343"/>
      <c r="O224" s="343"/>
      <c r="P224" s="343"/>
      <c r="Q224" s="343"/>
      <c r="R224" s="343"/>
      <c r="S224" s="343"/>
      <c r="T224" s="343"/>
      <c r="U224" s="343"/>
      <c r="V224" s="343"/>
      <c r="W224" s="343"/>
    </row>
    <row r="225" spans="1:23" ht="31.5" customHeight="1" x14ac:dyDescent="0.2">
      <c r="A225" s="352">
        <f>IF(F225&lt;&gt;"",1+MAX($A$6:A224),"")</f>
        <v>173</v>
      </c>
      <c r="B225" s="367" t="s">
        <v>676</v>
      </c>
      <c r="C225" s="364"/>
      <c r="D225" s="368"/>
      <c r="E225" s="373" t="s">
        <v>693</v>
      </c>
      <c r="F225" s="128">
        <v>15</v>
      </c>
      <c r="G225" s="436">
        <v>0</v>
      </c>
      <c r="H225" s="140">
        <f t="shared" si="114"/>
        <v>15</v>
      </c>
      <c r="I225" s="141" t="s">
        <v>20</v>
      </c>
      <c r="J225" s="817">
        <v>0</v>
      </c>
      <c r="K225" s="437">
        <f t="shared" si="115"/>
        <v>0</v>
      </c>
      <c r="L225" s="429"/>
      <c r="M225" s="343"/>
      <c r="N225" s="343"/>
      <c r="O225" s="343"/>
      <c r="P225" s="343"/>
      <c r="Q225" s="343"/>
      <c r="R225" s="343"/>
      <c r="S225" s="343"/>
      <c r="T225" s="343"/>
      <c r="U225" s="343"/>
      <c r="V225" s="343"/>
      <c r="W225" s="343"/>
    </row>
    <row r="226" spans="1:23" ht="31.5" x14ac:dyDescent="0.2">
      <c r="A226" s="352">
        <f>IF(F226&lt;&gt;"",1+MAX($A$6:A225),"")</f>
        <v>174</v>
      </c>
      <c r="B226" s="367" t="s">
        <v>676</v>
      </c>
      <c r="C226" s="364"/>
      <c r="D226" s="368"/>
      <c r="E226" s="373" t="s">
        <v>694</v>
      </c>
      <c r="F226" s="128">
        <v>78</v>
      </c>
      <c r="G226" s="436">
        <v>0</v>
      </c>
      <c r="H226" s="140">
        <f t="shared" si="114"/>
        <v>78</v>
      </c>
      <c r="I226" s="141" t="s">
        <v>20</v>
      </c>
      <c r="J226" s="817">
        <v>0</v>
      </c>
      <c r="K226" s="437">
        <f t="shared" si="115"/>
        <v>0</v>
      </c>
      <c r="L226" s="429"/>
      <c r="M226" s="343"/>
      <c r="N226" s="343"/>
      <c r="O226" s="343"/>
      <c r="P226" s="343"/>
      <c r="Q226" s="343"/>
      <c r="R226" s="343"/>
      <c r="S226" s="343"/>
      <c r="T226" s="343"/>
      <c r="U226" s="343"/>
      <c r="V226" s="343"/>
      <c r="W226" s="343"/>
    </row>
    <row r="227" spans="1:23" ht="31.5" customHeight="1" x14ac:dyDescent="0.2">
      <c r="A227" s="352">
        <f>IF(F227&lt;&gt;"",1+MAX($A$6:A226),"")</f>
        <v>175</v>
      </c>
      <c r="B227" s="367" t="s">
        <v>676</v>
      </c>
      <c r="C227" s="364"/>
      <c r="D227" s="368"/>
      <c r="E227" s="373" t="s">
        <v>695</v>
      </c>
      <c r="F227" s="128">
        <v>15</v>
      </c>
      <c r="G227" s="436">
        <v>0</v>
      </c>
      <c r="H227" s="140">
        <f t="shared" si="114"/>
        <v>15</v>
      </c>
      <c r="I227" s="141" t="s">
        <v>20</v>
      </c>
      <c r="J227" s="817">
        <v>0</v>
      </c>
      <c r="K227" s="437">
        <f t="shared" si="115"/>
        <v>0</v>
      </c>
      <c r="L227" s="429"/>
      <c r="M227" s="343"/>
      <c r="N227" s="343"/>
      <c r="O227" s="343"/>
      <c r="P227" s="343"/>
      <c r="Q227" s="343"/>
      <c r="R227" s="343"/>
      <c r="S227" s="343"/>
      <c r="T227" s="343"/>
      <c r="U227" s="343"/>
      <c r="V227" s="343"/>
      <c r="W227" s="343"/>
    </row>
    <row r="228" spans="1:23" ht="31.5" x14ac:dyDescent="0.2">
      <c r="A228" s="352">
        <f>IF(F228&lt;&gt;"",1+MAX($A$6:A227),"")</f>
        <v>176</v>
      </c>
      <c r="B228" s="367" t="s">
        <v>676</v>
      </c>
      <c r="C228" s="364"/>
      <c r="D228" s="368"/>
      <c r="E228" s="373" t="s">
        <v>696</v>
      </c>
      <c r="F228" s="128">
        <v>1</v>
      </c>
      <c r="G228" s="436">
        <v>0</v>
      </c>
      <c r="H228" s="140">
        <f t="shared" si="114"/>
        <v>1</v>
      </c>
      <c r="I228" s="141" t="s">
        <v>20</v>
      </c>
      <c r="J228" s="817">
        <v>0</v>
      </c>
      <c r="K228" s="437">
        <f t="shared" si="115"/>
        <v>0</v>
      </c>
      <c r="L228" s="429"/>
      <c r="M228" s="343"/>
      <c r="N228" s="343"/>
      <c r="O228" s="343"/>
      <c r="P228" s="343"/>
      <c r="Q228" s="343"/>
      <c r="R228" s="343"/>
      <c r="S228" s="343"/>
      <c r="T228" s="343"/>
      <c r="U228" s="343"/>
      <c r="V228" s="343"/>
      <c r="W228" s="343"/>
    </row>
    <row r="229" spans="1:23" ht="31.5" x14ac:dyDescent="0.2">
      <c r="A229" s="352">
        <f>IF(F229&lt;&gt;"",1+MAX($A$6:A228),"")</f>
        <v>177</v>
      </c>
      <c r="B229" s="367" t="s">
        <v>676</v>
      </c>
      <c r="C229" s="364"/>
      <c r="D229" s="368"/>
      <c r="E229" s="373" t="s">
        <v>697</v>
      </c>
      <c r="F229" s="128">
        <v>59</v>
      </c>
      <c r="G229" s="436">
        <v>0</v>
      </c>
      <c r="H229" s="140">
        <f t="shared" si="114"/>
        <v>59</v>
      </c>
      <c r="I229" s="141" t="s">
        <v>20</v>
      </c>
      <c r="J229" s="817">
        <v>0</v>
      </c>
      <c r="K229" s="437">
        <f t="shared" si="115"/>
        <v>0</v>
      </c>
      <c r="L229" s="429"/>
      <c r="M229" s="343"/>
      <c r="N229" s="343"/>
      <c r="O229" s="343"/>
      <c r="P229" s="343"/>
      <c r="Q229" s="343"/>
      <c r="R229" s="343"/>
      <c r="S229" s="343"/>
      <c r="T229" s="343"/>
      <c r="U229" s="343"/>
      <c r="V229" s="343"/>
      <c r="W229" s="343"/>
    </row>
    <row r="230" spans="1:23" ht="31.5" x14ac:dyDescent="0.2">
      <c r="A230" s="352">
        <f>IF(F230&lt;&gt;"",1+MAX($A$6:A229),"")</f>
        <v>178</v>
      </c>
      <c r="B230" s="367" t="s">
        <v>676</v>
      </c>
      <c r="C230" s="364"/>
      <c r="D230" s="368"/>
      <c r="E230" s="373" t="s">
        <v>698</v>
      </c>
      <c r="F230" s="128">
        <v>14</v>
      </c>
      <c r="G230" s="436">
        <v>0</v>
      </c>
      <c r="H230" s="140">
        <f t="shared" si="114"/>
        <v>14</v>
      </c>
      <c r="I230" s="141" t="s">
        <v>20</v>
      </c>
      <c r="J230" s="817">
        <v>0</v>
      </c>
      <c r="K230" s="437">
        <f t="shared" si="115"/>
        <v>0</v>
      </c>
      <c r="L230" s="429"/>
      <c r="M230" s="343"/>
      <c r="N230" s="343"/>
      <c r="O230" s="343"/>
      <c r="P230" s="343"/>
      <c r="Q230" s="343"/>
      <c r="R230" s="343"/>
      <c r="S230" s="343"/>
      <c r="T230" s="343"/>
      <c r="U230" s="343"/>
      <c r="V230" s="343"/>
      <c r="W230" s="343"/>
    </row>
    <row r="231" spans="1:23" ht="31.5" x14ac:dyDescent="0.2">
      <c r="A231" s="352">
        <f>IF(F231&lt;&gt;"",1+MAX($A$6:A230),"")</f>
        <v>179</v>
      </c>
      <c r="B231" s="367" t="s">
        <v>676</v>
      </c>
      <c r="C231" s="364"/>
      <c r="D231" s="368"/>
      <c r="E231" s="373" t="s">
        <v>699</v>
      </c>
      <c r="F231" s="128">
        <v>2</v>
      </c>
      <c r="G231" s="436">
        <v>0</v>
      </c>
      <c r="H231" s="140">
        <f t="shared" si="114"/>
        <v>2</v>
      </c>
      <c r="I231" s="141" t="s">
        <v>20</v>
      </c>
      <c r="J231" s="817">
        <v>0</v>
      </c>
      <c r="K231" s="437">
        <f t="shared" si="115"/>
        <v>0</v>
      </c>
      <c r="L231" s="429"/>
      <c r="M231" s="343"/>
      <c r="N231" s="343"/>
      <c r="O231" s="343"/>
      <c r="P231" s="343"/>
      <c r="Q231" s="343"/>
      <c r="R231" s="343"/>
      <c r="S231" s="343"/>
      <c r="T231" s="343"/>
      <c r="U231" s="343"/>
      <c r="V231" s="343"/>
      <c r="W231" s="343"/>
    </row>
    <row r="232" spans="1:23" ht="16.5" thickBot="1" x14ac:dyDescent="0.25">
      <c r="A232" s="352" t="str">
        <f>IF(F232&lt;&gt;"",1+MAX($A$6:A231),"")</f>
        <v/>
      </c>
      <c r="B232" s="141"/>
      <c r="C232" s="364"/>
      <c r="D232" s="370"/>
      <c r="E232" s="371"/>
      <c r="F232" s="430"/>
      <c r="G232" s="431"/>
      <c r="H232" s="430"/>
      <c r="I232" s="432"/>
      <c r="J232" s="134"/>
      <c r="K232" s="433"/>
      <c r="L232" s="434"/>
      <c r="M232" s="343"/>
      <c r="N232" s="343"/>
      <c r="O232" s="343"/>
      <c r="P232" s="343"/>
      <c r="Q232" s="343"/>
      <c r="R232" s="343"/>
      <c r="S232" s="343"/>
      <c r="T232" s="343"/>
      <c r="U232" s="343"/>
      <c r="V232" s="343"/>
      <c r="W232" s="343"/>
    </row>
    <row r="233" spans="1:23" ht="19.5" thickBot="1" x14ac:dyDescent="0.25">
      <c r="A233" s="352" t="str">
        <f>IF(F233&lt;&gt;"",1+MAX($A$6:A232),"")</f>
        <v/>
      </c>
      <c r="B233" s="357"/>
      <c r="C233" s="358"/>
      <c r="D233" s="359" t="s">
        <v>511</v>
      </c>
      <c r="E233" s="360" t="s">
        <v>700</v>
      </c>
      <c r="F233" s="359"/>
      <c r="G233" s="424"/>
      <c r="H233" s="425"/>
      <c r="I233" s="426"/>
      <c r="J233" s="427"/>
      <c r="K233" s="428"/>
      <c r="L233" s="429"/>
      <c r="M233" s="345"/>
      <c r="N233" s="345"/>
      <c r="O233" s="345"/>
      <c r="P233" s="345"/>
      <c r="Q233" s="345"/>
      <c r="R233" s="343"/>
      <c r="S233" s="343"/>
      <c r="T233" s="343"/>
      <c r="U233" s="343"/>
      <c r="V233" s="343"/>
      <c r="W233" s="343"/>
    </row>
    <row r="234" spans="1:23" ht="32.25" thickBot="1" x14ac:dyDescent="0.25">
      <c r="A234" s="352" t="str">
        <f>IF(F234&lt;&gt;"",1+MAX($A$6:A233),"")</f>
        <v/>
      </c>
      <c r="B234" s="141"/>
      <c r="C234" s="364"/>
      <c r="D234" s="370"/>
      <c r="E234" s="363" t="s">
        <v>701</v>
      </c>
      <c r="F234" s="430"/>
      <c r="G234" s="431"/>
      <c r="H234" s="430"/>
      <c r="I234" s="432"/>
      <c r="J234" s="134"/>
      <c r="K234" s="433"/>
      <c r="L234" s="434"/>
      <c r="M234" s="343"/>
      <c r="N234" s="343"/>
      <c r="O234" s="343"/>
      <c r="P234" s="343"/>
      <c r="Q234" s="343"/>
      <c r="R234" s="343"/>
      <c r="S234" s="343"/>
      <c r="T234" s="343"/>
      <c r="U234" s="343"/>
      <c r="V234" s="343"/>
      <c r="W234" s="343"/>
    </row>
    <row r="235" spans="1:23" ht="16.5" customHeight="1" thickBot="1" x14ac:dyDescent="0.25">
      <c r="A235" s="352" t="str">
        <f>IF(F235&lt;&gt;"",1+MAX($A$6:A234),"")</f>
        <v/>
      </c>
      <c r="B235" s="123"/>
      <c r="C235" s="364"/>
      <c r="D235" s="365"/>
      <c r="E235" s="366" t="s">
        <v>514</v>
      </c>
      <c r="F235" s="435"/>
      <c r="G235" s="431"/>
      <c r="H235" s="430"/>
      <c r="I235" s="432"/>
      <c r="J235" s="134"/>
      <c r="K235" s="428"/>
      <c r="L235" s="429"/>
      <c r="M235" s="345"/>
      <c r="N235" s="345"/>
      <c r="O235" s="345"/>
      <c r="P235" s="345"/>
      <c r="Q235" s="345"/>
      <c r="R235" s="343"/>
      <c r="S235" s="343"/>
      <c r="T235" s="343"/>
      <c r="U235" s="343"/>
      <c r="V235" s="343"/>
      <c r="W235" s="343"/>
    </row>
    <row r="236" spans="1:23" x14ac:dyDescent="0.2">
      <c r="A236" s="352">
        <f>IF(F236&lt;&gt;"",1+MAX($A$6:A235),"")</f>
        <v>180</v>
      </c>
      <c r="B236" s="367" t="s">
        <v>515</v>
      </c>
      <c r="C236" s="364"/>
      <c r="D236" s="368"/>
      <c r="E236" s="378" t="s">
        <v>702</v>
      </c>
      <c r="F236" s="128">
        <v>64.430000000000007</v>
      </c>
      <c r="G236" s="436">
        <v>0.1</v>
      </c>
      <c r="H236" s="140">
        <f>F236*(1+G236)</f>
        <v>70.873000000000019</v>
      </c>
      <c r="I236" s="141" t="s">
        <v>15</v>
      </c>
      <c r="J236" s="817">
        <v>0</v>
      </c>
      <c r="K236" s="437">
        <f t="shared" ref="K236:K240" si="117">J236*H236</f>
        <v>0</v>
      </c>
      <c r="L236" s="429"/>
      <c r="M236" s="343"/>
      <c r="N236" s="376"/>
      <c r="O236" s="343"/>
      <c r="P236" s="343"/>
      <c r="Q236" s="343"/>
      <c r="R236" s="343"/>
      <c r="S236" s="343"/>
      <c r="T236" s="343"/>
      <c r="U236" s="343"/>
      <c r="V236" s="343"/>
      <c r="W236" s="343"/>
    </row>
    <row r="237" spans="1:23" x14ac:dyDescent="0.2">
      <c r="A237" s="352">
        <f>IF(F237&lt;&gt;"",1+MAX($A$6:A236),"")</f>
        <v>181</v>
      </c>
      <c r="B237" s="367" t="s">
        <v>515</v>
      </c>
      <c r="C237" s="364"/>
      <c r="D237" s="368"/>
      <c r="E237" s="378" t="s">
        <v>703</v>
      </c>
      <c r="F237" s="128">
        <v>11.31</v>
      </c>
      <c r="G237" s="436">
        <v>0.1</v>
      </c>
      <c r="H237" s="140">
        <f>F237*(1+G237)</f>
        <v>12.441000000000001</v>
      </c>
      <c r="I237" s="141" t="s">
        <v>15</v>
      </c>
      <c r="J237" s="817">
        <v>0</v>
      </c>
      <c r="K237" s="437">
        <f t="shared" si="117"/>
        <v>0</v>
      </c>
      <c r="L237" s="429"/>
      <c r="M237" s="343"/>
      <c r="N237" s="343"/>
      <c r="O237" s="343"/>
      <c r="P237" s="343"/>
      <c r="Q237" s="343"/>
      <c r="R237" s="343"/>
      <c r="S237" s="343"/>
      <c r="T237" s="343"/>
      <c r="U237" s="343"/>
      <c r="V237" s="343"/>
      <c r="W237" s="343"/>
    </row>
    <row r="238" spans="1:23" x14ac:dyDescent="0.2">
      <c r="A238" s="352">
        <f>IF(F238&lt;&gt;"",1+MAX($A$6:A237),"")</f>
        <v>182</v>
      </c>
      <c r="B238" s="367" t="s">
        <v>515</v>
      </c>
      <c r="C238" s="364"/>
      <c r="D238" s="368"/>
      <c r="E238" s="378" t="s">
        <v>704</v>
      </c>
      <c r="F238" s="128">
        <v>5.21</v>
      </c>
      <c r="G238" s="436">
        <v>0.1</v>
      </c>
      <c r="H238" s="140">
        <f>F238*(1+G238)</f>
        <v>5.7310000000000008</v>
      </c>
      <c r="I238" s="141" t="s">
        <v>15</v>
      </c>
      <c r="J238" s="817">
        <v>0</v>
      </c>
      <c r="K238" s="437">
        <f t="shared" si="117"/>
        <v>0</v>
      </c>
      <c r="L238" s="429"/>
      <c r="M238" s="343"/>
      <c r="N238" s="376"/>
      <c r="O238" s="343"/>
      <c r="P238" s="343"/>
      <c r="Q238" s="343"/>
      <c r="R238" s="343"/>
      <c r="S238" s="343"/>
      <c r="T238" s="343"/>
      <c r="U238" s="343"/>
      <c r="V238" s="343"/>
      <c r="W238" s="343"/>
    </row>
    <row r="239" spans="1:23" x14ac:dyDescent="0.2">
      <c r="A239" s="352">
        <f>IF(F239&lt;&gt;"",1+MAX($A$6:A238),"")</f>
        <v>183</v>
      </c>
      <c r="B239" s="367" t="s">
        <v>515</v>
      </c>
      <c r="C239" s="364"/>
      <c r="D239" s="368"/>
      <c r="E239" s="378" t="s">
        <v>705</v>
      </c>
      <c r="F239" s="128">
        <v>65.38</v>
      </c>
      <c r="G239" s="436">
        <v>0.1</v>
      </c>
      <c r="H239" s="140">
        <f>F239*(1+G239)</f>
        <v>71.918000000000006</v>
      </c>
      <c r="I239" s="141" t="s">
        <v>15</v>
      </c>
      <c r="J239" s="817">
        <v>0</v>
      </c>
      <c r="K239" s="437">
        <f t="shared" si="117"/>
        <v>0</v>
      </c>
      <c r="L239" s="429"/>
      <c r="M239" s="343"/>
      <c r="N239" s="343"/>
      <c r="O239" s="343"/>
      <c r="P239" s="343"/>
      <c r="Q239" s="343"/>
      <c r="R239" s="343"/>
      <c r="S239" s="343"/>
      <c r="T239" s="343"/>
      <c r="U239" s="343"/>
      <c r="V239" s="343"/>
      <c r="W239" s="343"/>
    </row>
    <row r="240" spans="1:23" x14ac:dyDescent="0.2">
      <c r="A240" s="352">
        <f>IF(F240&lt;&gt;"",1+MAX($A$6:A239),"")</f>
        <v>184</v>
      </c>
      <c r="B240" s="367" t="s">
        <v>515</v>
      </c>
      <c r="C240" s="364"/>
      <c r="D240" s="368"/>
      <c r="E240" s="378" t="s">
        <v>706</v>
      </c>
      <c r="F240" s="128">
        <v>183.76</v>
      </c>
      <c r="G240" s="436">
        <v>0.1</v>
      </c>
      <c r="H240" s="140">
        <f>F240*(1+G240)</f>
        <v>202.136</v>
      </c>
      <c r="I240" s="141" t="s">
        <v>15</v>
      </c>
      <c r="J240" s="817">
        <v>0</v>
      </c>
      <c r="K240" s="437">
        <f t="shared" si="117"/>
        <v>0</v>
      </c>
      <c r="L240" s="429"/>
      <c r="M240" s="343"/>
      <c r="N240" s="376"/>
      <c r="O240" s="343"/>
      <c r="P240" s="343"/>
      <c r="Q240" s="343"/>
      <c r="R240" s="343"/>
      <c r="S240" s="343"/>
      <c r="T240" s="343"/>
      <c r="U240" s="343"/>
      <c r="V240" s="343"/>
      <c r="W240" s="343"/>
    </row>
    <row r="241" spans="1:23" ht="16.5" thickBot="1" x14ac:dyDescent="0.25">
      <c r="A241" s="352" t="str">
        <f>IF(F241&lt;&gt;"",1+MAX($A$6:A240),"")</f>
        <v/>
      </c>
      <c r="B241" s="141"/>
      <c r="C241" s="364"/>
      <c r="D241" s="370"/>
      <c r="E241" s="371"/>
      <c r="F241" s="430"/>
      <c r="G241" s="431"/>
      <c r="H241" s="430"/>
      <c r="I241" s="432"/>
      <c r="J241" s="134"/>
      <c r="K241" s="433"/>
      <c r="L241" s="434"/>
      <c r="M241" s="343"/>
      <c r="N241" s="343"/>
      <c r="O241" s="343"/>
      <c r="P241" s="343"/>
      <c r="Q241" s="343"/>
      <c r="R241" s="343"/>
      <c r="S241" s="343"/>
      <c r="T241" s="343"/>
      <c r="U241" s="343"/>
      <c r="V241" s="343"/>
      <c r="W241" s="343"/>
    </row>
    <row r="242" spans="1:23" ht="16.5" customHeight="1" thickBot="1" x14ac:dyDescent="0.25">
      <c r="A242" s="352" t="str">
        <f>IF(F242&lt;&gt;"",1+MAX($A$6:A241),"")</f>
        <v/>
      </c>
      <c r="B242" s="123"/>
      <c r="C242" s="364"/>
      <c r="D242" s="365"/>
      <c r="E242" s="366" t="s">
        <v>539</v>
      </c>
      <c r="F242" s="435"/>
      <c r="G242" s="431"/>
      <c r="H242" s="430"/>
      <c r="I242" s="432"/>
      <c r="J242" s="134"/>
      <c r="K242" s="428"/>
      <c r="L242" s="429"/>
      <c r="M242" s="345"/>
      <c r="N242" s="345"/>
      <c r="O242" s="345"/>
      <c r="P242" s="345"/>
      <c r="Q242" s="345"/>
      <c r="R242" s="343"/>
      <c r="S242" s="343"/>
      <c r="T242" s="343"/>
      <c r="U242" s="343"/>
      <c r="V242" s="343"/>
      <c r="W242" s="343"/>
    </row>
    <row r="243" spans="1:23" x14ac:dyDescent="0.2">
      <c r="A243" s="352">
        <f>IF(F243&lt;&gt;"",1+MAX($A$6:A242),"")</f>
        <v>185</v>
      </c>
      <c r="B243" s="367" t="s">
        <v>707</v>
      </c>
      <c r="C243" s="364"/>
      <c r="D243" s="368"/>
      <c r="E243" s="378" t="s">
        <v>708</v>
      </c>
      <c r="F243" s="128">
        <v>52.5</v>
      </c>
      <c r="G243" s="436">
        <v>0.1</v>
      </c>
      <c r="H243" s="140">
        <f>F243*(1+G243)</f>
        <v>57.750000000000007</v>
      </c>
      <c r="I243" s="141" t="s">
        <v>15</v>
      </c>
      <c r="J243" s="438">
        <f t="shared" ref="J243" si="118">J$236</f>
        <v>0</v>
      </c>
      <c r="K243" s="437">
        <f t="shared" ref="K243:K245" si="119">J243*H243</f>
        <v>0</v>
      </c>
      <c r="L243" s="429"/>
      <c r="M243" s="343"/>
      <c r="N243" s="376"/>
      <c r="O243" s="343"/>
      <c r="P243" s="343"/>
      <c r="Q243" s="343"/>
      <c r="R243" s="343"/>
      <c r="S243" s="343"/>
      <c r="T243" s="343"/>
      <c r="U243" s="343"/>
      <c r="V243" s="343"/>
      <c r="W243" s="343"/>
    </row>
    <row r="244" spans="1:23" x14ac:dyDescent="0.2">
      <c r="A244" s="352">
        <f>IF(F244&lt;&gt;"",1+MAX($A$6:A243),"")</f>
        <v>186</v>
      </c>
      <c r="B244" s="367" t="s">
        <v>707</v>
      </c>
      <c r="C244" s="364"/>
      <c r="D244" s="368"/>
      <c r="E244" s="378" t="s">
        <v>709</v>
      </c>
      <c r="F244" s="128">
        <v>30</v>
      </c>
      <c r="G244" s="436">
        <v>0.1</v>
      </c>
      <c r="H244" s="140">
        <f>F244*(1+G244)</f>
        <v>33</v>
      </c>
      <c r="I244" s="141" t="s">
        <v>15</v>
      </c>
      <c r="J244" s="438">
        <f t="shared" ref="J244" si="120">J$238</f>
        <v>0</v>
      </c>
      <c r="K244" s="437">
        <f t="shared" si="119"/>
        <v>0</v>
      </c>
      <c r="L244" s="429"/>
      <c r="M244" s="343"/>
      <c r="N244" s="343"/>
      <c r="O244" s="343"/>
      <c r="P244" s="343"/>
      <c r="Q244" s="343"/>
      <c r="R244" s="343"/>
      <c r="S244" s="343"/>
      <c r="T244" s="343"/>
      <c r="U244" s="343"/>
      <c r="V244" s="343"/>
      <c r="W244" s="343"/>
    </row>
    <row r="245" spans="1:23" x14ac:dyDescent="0.2">
      <c r="A245" s="352">
        <f>IF(F245&lt;&gt;"",1+MAX($A$6:A244),"")</f>
        <v>187</v>
      </c>
      <c r="B245" s="367" t="s">
        <v>707</v>
      </c>
      <c r="C245" s="364"/>
      <c r="D245" s="368"/>
      <c r="E245" s="378" t="s">
        <v>710</v>
      </c>
      <c r="F245" s="128">
        <v>42.5</v>
      </c>
      <c r="G245" s="436">
        <v>0.1</v>
      </c>
      <c r="H245" s="140">
        <f>F245*(1+G245)</f>
        <v>46.750000000000007</v>
      </c>
      <c r="I245" s="141" t="s">
        <v>15</v>
      </c>
      <c r="J245" s="438">
        <f t="shared" ref="J245" si="121">J$240</f>
        <v>0</v>
      </c>
      <c r="K245" s="437">
        <f t="shared" si="119"/>
        <v>0</v>
      </c>
      <c r="L245" s="429"/>
      <c r="M245" s="343"/>
      <c r="N245" s="343"/>
      <c r="O245" s="343"/>
      <c r="P245" s="343"/>
      <c r="Q245" s="343"/>
      <c r="R245" s="343"/>
      <c r="S245" s="343"/>
      <c r="T245" s="343"/>
      <c r="U245" s="343"/>
      <c r="V245" s="343"/>
      <c r="W245" s="343"/>
    </row>
    <row r="246" spans="1:23" ht="16.5" thickBot="1" x14ac:dyDescent="0.25">
      <c r="A246" s="352" t="str">
        <f>IF(F246&lt;&gt;"",1+MAX($A$6:A245),"")</f>
        <v/>
      </c>
      <c r="B246" s="141"/>
      <c r="C246" s="364"/>
      <c r="D246" s="370"/>
      <c r="E246" s="378"/>
      <c r="F246" s="430"/>
      <c r="G246" s="431"/>
      <c r="H246" s="430"/>
      <c r="I246" s="432"/>
      <c r="J246" s="134"/>
      <c r="K246" s="433"/>
      <c r="L246" s="434"/>
      <c r="M246" s="343"/>
      <c r="N246" s="343"/>
      <c r="O246" s="343"/>
      <c r="P246" s="343"/>
      <c r="Q246" s="343"/>
      <c r="R246" s="343"/>
      <c r="S246" s="343"/>
      <c r="T246" s="343"/>
      <c r="U246" s="343"/>
      <c r="V246" s="343"/>
      <c r="W246" s="343"/>
    </row>
    <row r="247" spans="1:23" ht="16.5" customHeight="1" thickBot="1" x14ac:dyDescent="0.25">
      <c r="A247" s="352" t="str">
        <f>IF(F247&lt;&gt;"",1+MAX($A$6:A246),"")</f>
        <v/>
      </c>
      <c r="B247" s="123"/>
      <c r="C247" s="364"/>
      <c r="D247" s="365"/>
      <c r="E247" s="366" t="s">
        <v>566</v>
      </c>
      <c r="F247" s="435"/>
      <c r="G247" s="431"/>
      <c r="H247" s="430"/>
      <c r="I247" s="432"/>
      <c r="J247" s="134"/>
      <c r="K247" s="428"/>
      <c r="L247" s="429"/>
      <c r="M247" s="345"/>
      <c r="N247" s="345"/>
      <c r="O247" s="345"/>
      <c r="P247" s="345"/>
      <c r="Q247" s="345"/>
      <c r="R247" s="343"/>
      <c r="S247" s="343"/>
      <c r="T247" s="343"/>
      <c r="U247" s="343"/>
      <c r="V247" s="343"/>
      <c r="W247" s="343"/>
    </row>
    <row r="248" spans="1:23" x14ac:dyDescent="0.2">
      <c r="A248" s="352">
        <f>IF(F248&lt;&gt;"",1+MAX($A$6:A247),"")</f>
        <v>188</v>
      </c>
      <c r="B248" s="367" t="s">
        <v>707</v>
      </c>
      <c r="C248" s="364"/>
      <c r="D248" s="368"/>
      <c r="E248" s="373" t="s">
        <v>711</v>
      </c>
      <c r="F248" s="128">
        <v>1</v>
      </c>
      <c r="G248" s="436">
        <v>0</v>
      </c>
      <c r="H248" s="140">
        <f t="shared" ref="H248:H253" si="122">F248*(1+G248)</f>
        <v>1</v>
      </c>
      <c r="I248" s="141" t="s">
        <v>20</v>
      </c>
      <c r="J248" s="817">
        <v>0</v>
      </c>
      <c r="K248" s="437">
        <f t="shared" ref="K248:K254" si="123">J248*H248</f>
        <v>0</v>
      </c>
      <c r="L248" s="429"/>
      <c r="M248" s="343"/>
      <c r="N248" s="343"/>
      <c r="O248" s="343"/>
      <c r="P248" s="343"/>
      <c r="Q248" s="343"/>
      <c r="R248" s="343"/>
      <c r="S248" s="343"/>
      <c r="T248" s="343"/>
      <c r="U248" s="343"/>
      <c r="V248" s="343"/>
      <c r="W248" s="343"/>
    </row>
    <row r="249" spans="1:23" x14ac:dyDescent="0.2">
      <c r="A249" s="352">
        <f>IF(F249&lt;&gt;"",1+MAX($A$6:A248),"")</f>
        <v>189</v>
      </c>
      <c r="B249" s="367" t="s">
        <v>707</v>
      </c>
      <c r="C249" s="364"/>
      <c r="D249" s="368"/>
      <c r="E249" s="373" t="s">
        <v>712</v>
      </c>
      <c r="F249" s="128">
        <v>2</v>
      </c>
      <c r="G249" s="436">
        <v>0</v>
      </c>
      <c r="H249" s="140">
        <f t="shared" si="122"/>
        <v>2</v>
      </c>
      <c r="I249" s="141" t="s">
        <v>20</v>
      </c>
      <c r="J249" s="817">
        <v>0</v>
      </c>
      <c r="K249" s="437">
        <f t="shared" si="123"/>
        <v>0</v>
      </c>
      <c r="L249" s="429"/>
      <c r="M249" s="343"/>
      <c r="N249" s="343"/>
      <c r="O249" s="343"/>
      <c r="P249" s="343"/>
      <c r="Q249" s="343"/>
      <c r="R249" s="343"/>
      <c r="S249" s="343"/>
      <c r="T249" s="343"/>
      <c r="U249" s="343"/>
      <c r="V249" s="343"/>
      <c r="W249" s="343"/>
    </row>
    <row r="250" spans="1:23" x14ac:dyDescent="0.2">
      <c r="A250" s="352">
        <f>IF(F250&lt;&gt;"",1+MAX($A$6:A249),"")</f>
        <v>190</v>
      </c>
      <c r="B250" s="367" t="s">
        <v>707</v>
      </c>
      <c r="C250" s="364"/>
      <c r="D250" s="368"/>
      <c r="E250" s="373" t="s">
        <v>713</v>
      </c>
      <c r="F250" s="128">
        <v>1</v>
      </c>
      <c r="G250" s="436">
        <v>0</v>
      </c>
      <c r="H250" s="140">
        <f t="shared" si="122"/>
        <v>1</v>
      </c>
      <c r="I250" s="141" t="s">
        <v>20</v>
      </c>
      <c r="J250" s="817">
        <v>0</v>
      </c>
      <c r="K250" s="437">
        <f t="shared" si="123"/>
        <v>0</v>
      </c>
      <c r="L250" s="429"/>
      <c r="M250" s="343"/>
      <c r="N250" s="343"/>
      <c r="O250" s="343"/>
      <c r="P250" s="343"/>
      <c r="Q250" s="343"/>
      <c r="R250" s="343"/>
      <c r="S250" s="343"/>
      <c r="T250" s="343"/>
      <c r="U250" s="343"/>
      <c r="V250" s="343"/>
      <c r="W250" s="343"/>
    </row>
    <row r="251" spans="1:23" x14ac:dyDescent="0.2">
      <c r="A251" s="352">
        <f>IF(F251&lt;&gt;"",1+MAX($A$6:A250),"")</f>
        <v>191</v>
      </c>
      <c r="B251" s="367" t="s">
        <v>707</v>
      </c>
      <c r="C251" s="364"/>
      <c r="D251" s="368"/>
      <c r="E251" s="373" t="s">
        <v>714</v>
      </c>
      <c r="F251" s="128">
        <v>1</v>
      </c>
      <c r="G251" s="436">
        <v>0</v>
      </c>
      <c r="H251" s="140">
        <f t="shared" si="122"/>
        <v>1</v>
      </c>
      <c r="I251" s="141" t="s">
        <v>20</v>
      </c>
      <c r="J251" s="817">
        <v>0</v>
      </c>
      <c r="K251" s="437">
        <f t="shared" si="123"/>
        <v>0</v>
      </c>
      <c r="L251" s="429"/>
      <c r="M251" s="343"/>
      <c r="N251" s="343"/>
      <c r="O251" s="343"/>
      <c r="P251" s="343"/>
      <c r="Q251" s="343"/>
      <c r="R251" s="343"/>
      <c r="S251" s="343"/>
      <c r="T251" s="343"/>
      <c r="U251" s="343"/>
      <c r="V251" s="343"/>
      <c r="W251" s="343"/>
    </row>
    <row r="252" spans="1:23" x14ac:dyDescent="0.2">
      <c r="A252" s="352">
        <f>IF(F252&lt;&gt;"",1+MAX($A$6:A251),"")</f>
        <v>192</v>
      </c>
      <c r="B252" s="367" t="s">
        <v>707</v>
      </c>
      <c r="C252" s="364"/>
      <c r="D252" s="368"/>
      <c r="E252" s="373" t="s">
        <v>715</v>
      </c>
      <c r="F252" s="128">
        <v>9</v>
      </c>
      <c r="G252" s="436">
        <v>0</v>
      </c>
      <c r="H252" s="140">
        <f t="shared" si="122"/>
        <v>9</v>
      </c>
      <c r="I252" s="141" t="s">
        <v>20</v>
      </c>
      <c r="J252" s="817">
        <v>0</v>
      </c>
      <c r="K252" s="437">
        <f t="shared" si="123"/>
        <v>0</v>
      </c>
      <c r="L252" s="429"/>
      <c r="M252" s="343"/>
      <c r="N252" s="343"/>
      <c r="O252" s="343"/>
      <c r="P252" s="343"/>
      <c r="Q252" s="343"/>
      <c r="R252" s="343"/>
      <c r="S252" s="343"/>
      <c r="T252" s="343"/>
      <c r="U252" s="343"/>
      <c r="V252" s="343"/>
      <c r="W252" s="343"/>
    </row>
    <row r="253" spans="1:23" ht="31.5" x14ac:dyDescent="0.2">
      <c r="A253" s="352">
        <f>IF(F253&lt;&gt;"",1+MAX($A$6:A252),"")</f>
        <v>193</v>
      </c>
      <c r="B253" s="367" t="s">
        <v>707</v>
      </c>
      <c r="C253" s="364"/>
      <c r="D253" s="368"/>
      <c r="E253" s="373" t="s">
        <v>716</v>
      </c>
      <c r="F253" s="128">
        <v>1</v>
      </c>
      <c r="G253" s="436">
        <v>0</v>
      </c>
      <c r="H253" s="140">
        <f t="shared" si="122"/>
        <v>1</v>
      </c>
      <c r="I253" s="141" t="s">
        <v>20</v>
      </c>
      <c r="J253" s="817">
        <v>0</v>
      </c>
      <c r="K253" s="437">
        <f t="shared" si="123"/>
        <v>0</v>
      </c>
      <c r="L253" s="429"/>
      <c r="M253" s="343"/>
      <c r="N253" s="343"/>
      <c r="O253" s="343"/>
      <c r="P253" s="343"/>
      <c r="Q253" s="343"/>
      <c r="R253" s="343"/>
      <c r="S253" s="343"/>
      <c r="T253" s="343"/>
      <c r="U253" s="343"/>
      <c r="V253" s="343"/>
      <c r="W253" s="343"/>
    </row>
    <row r="254" spans="1:23" ht="31.5" x14ac:dyDescent="0.2">
      <c r="A254" s="352">
        <f>IF(F254&lt;&gt;"",1+MAX($A$6:A253),"")</f>
        <v>194</v>
      </c>
      <c r="B254" s="367" t="s">
        <v>707</v>
      </c>
      <c r="C254" s="364"/>
      <c r="D254" s="368"/>
      <c r="E254" s="373" t="s">
        <v>717</v>
      </c>
      <c r="F254" s="128">
        <v>1</v>
      </c>
      <c r="G254" s="436">
        <v>0</v>
      </c>
      <c r="H254" s="140">
        <f>F254*(1+G254)</f>
        <v>1</v>
      </c>
      <c r="I254" s="141" t="s">
        <v>20</v>
      </c>
      <c r="J254" s="817">
        <v>0</v>
      </c>
      <c r="K254" s="437">
        <f t="shared" si="123"/>
        <v>0</v>
      </c>
      <c r="L254" s="429"/>
      <c r="M254" s="343"/>
      <c r="N254" s="343"/>
      <c r="O254" s="343"/>
      <c r="P254" s="343"/>
      <c r="Q254" s="343"/>
      <c r="R254" s="343"/>
      <c r="S254" s="343"/>
      <c r="T254" s="343"/>
      <c r="U254" s="343"/>
      <c r="V254" s="343"/>
      <c r="W254" s="343"/>
    </row>
    <row r="255" spans="1:23" ht="16.5" thickBot="1" x14ac:dyDescent="0.25">
      <c r="A255" s="352" t="str">
        <f>IF(F255&lt;&gt;"",1+MAX($A$6:A254),"")</f>
        <v/>
      </c>
      <c r="B255" s="141"/>
      <c r="C255" s="364"/>
      <c r="D255" s="370"/>
      <c r="E255" s="371"/>
      <c r="F255" s="430"/>
      <c r="G255" s="431"/>
      <c r="H255" s="430"/>
      <c r="I255" s="432"/>
      <c r="J255" s="134"/>
      <c r="K255" s="433"/>
      <c r="L255" s="434"/>
      <c r="M255" s="343"/>
      <c r="N255" s="343"/>
      <c r="O255" s="343"/>
      <c r="P255" s="343"/>
      <c r="Q255" s="343"/>
      <c r="R255" s="343"/>
      <c r="S255" s="343"/>
      <c r="T255" s="343"/>
      <c r="U255" s="343"/>
      <c r="V255" s="343"/>
      <c r="W255" s="343"/>
    </row>
    <row r="256" spans="1:23" ht="16.5" customHeight="1" thickBot="1" x14ac:dyDescent="0.25">
      <c r="A256" s="352" t="str">
        <f>IF(F256&lt;&gt;"",1+MAX($A$6:A255),"")</f>
        <v/>
      </c>
      <c r="B256" s="123"/>
      <c r="C256" s="364"/>
      <c r="D256" s="365"/>
      <c r="E256" s="366" t="s">
        <v>718</v>
      </c>
      <c r="F256" s="435"/>
      <c r="G256" s="431"/>
      <c r="H256" s="430"/>
      <c r="I256" s="432"/>
      <c r="J256" s="134"/>
      <c r="K256" s="428"/>
      <c r="L256" s="429"/>
      <c r="M256" s="345"/>
      <c r="N256" s="345"/>
      <c r="O256" s="345"/>
      <c r="P256" s="345"/>
      <c r="Q256" s="345"/>
      <c r="R256" s="343"/>
      <c r="S256" s="343"/>
      <c r="T256" s="343"/>
      <c r="U256" s="343"/>
      <c r="V256" s="343"/>
      <c r="W256" s="343"/>
    </row>
    <row r="257" spans="1:23" ht="31.5" customHeight="1" x14ac:dyDescent="0.2">
      <c r="A257" s="352">
        <f>IF(F257&lt;&gt;"",1+MAX($A$6:A256),"")</f>
        <v>195</v>
      </c>
      <c r="B257" s="367"/>
      <c r="C257" s="364"/>
      <c r="D257" s="368"/>
      <c r="E257" s="125" t="s">
        <v>719</v>
      </c>
      <c r="F257" s="128">
        <v>1</v>
      </c>
      <c r="G257" s="436">
        <v>0</v>
      </c>
      <c r="H257" s="140">
        <f>F257*(1+G257)</f>
        <v>1</v>
      </c>
      <c r="I257" s="141" t="s">
        <v>27</v>
      </c>
      <c r="J257" s="817">
        <v>0</v>
      </c>
      <c r="K257" s="437">
        <f>J257*H257</f>
        <v>0</v>
      </c>
      <c r="L257" s="429"/>
      <c r="M257" s="343"/>
      <c r="N257" s="343"/>
      <c r="O257" s="343"/>
      <c r="P257" s="343"/>
      <c r="Q257" s="343"/>
      <c r="R257" s="343"/>
      <c r="S257" s="343"/>
      <c r="T257" s="343"/>
      <c r="U257" s="343"/>
      <c r="V257" s="343"/>
      <c r="W257" s="343"/>
    </row>
    <row r="258" spans="1:23" ht="16.5" thickBot="1" x14ac:dyDescent="0.25">
      <c r="A258" s="352" t="str">
        <f>IF(F258&lt;&gt;"",1+MAX($A$6:A257),"")</f>
        <v/>
      </c>
      <c r="B258" s="141"/>
      <c r="C258" s="364"/>
      <c r="D258" s="370"/>
      <c r="E258" s="379"/>
      <c r="F258" s="440"/>
      <c r="G258" s="441"/>
      <c r="H258" s="442"/>
      <c r="I258" s="443"/>
      <c r="J258" s="444"/>
      <c r="K258" s="445"/>
      <c r="L258" s="429"/>
      <c r="M258" s="343"/>
      <c r="N258" s="343"/>
      <c r="O258" s="343"/>
      <c r="P258" s="343"/>
      <c r="Q258" s="343"/>
      <c r="R258" s="343"/>
      <c r="S258" s="343"/>
      <c r="T258" s="343"/>
      <c r="U258" s="343"/>
      <c r="V258" s="343"/>
      <c r="W258" s="343"/>
    </row>
    <row r="259" spans="1:23" ht="16.5" thickBot="1" x14ac:dyDescent="0.25">
      <c r="A259" s="352" t="str">
        <f>IF(F259&lt;&gt;"",1+MAX($A$6:A258),"")</f>
        <v/>
      </c>
      <c r="B259" s="141"/>
      <c r="C259" s="364"/>
      <c r="D259" s="370"/>
      <c r="E259" s="371" t="s">
        <v>720</v>
      </c>
      <c r="F259" s="430"/>
      <c r="G259" s="431"/>
      <c r="H259" s="430"/>
      <c r="I259" s="432"/>
      <c r="J259" s="134"/>
      <c r="K259" s="433"/>
      <c r="L259" s="446">
        <f>SUM(K8:K258)</f>
        <v>0</v>
      </c>
      <c r="M259" s="380"/>
      <c r="N259" s="343"/>
      <c r="O259" s="343"/>
      <c r="P259" s="343"/>
      <c r="Q259" s="343"/>
      <c r="R259" s="343"/>
      <c r="S259" s="343"/>
      <c r="T259" s="343"/>
      <c r="U259" s="343"/>
      <c r="V259" s="343"/>
      <c r="W259" s="343"/>
    </row>
    <row r="260" spans="1:23" ht="16.5" thickBot="1" x14ac:dyDescent="0.25">
      <c r="A260" s="352" t="str">
        <f>IF(F260&lt;&gt;"",1+MAX($A$6:A259),"")</f>
        <v/>
      </c>
      <c r="B260" s="141"/>
      <c r="C260" s="364"/>
      <c r="D260" s="370"/>
      <c r="E260" s="371"/>
      <c r="F260" s="430"/>
      <c r="G260" s="431"/>
      <c r="H260" s="430"/>
      <c r="I260" s="432"/>
      <c r="J260" s="134"/>
      <c r="K260" s="433"/>
      <c r="L260" s="434"/>
      <c r="M260" s="343"/>
      <c r="N260" s="343"/>
      <c r="O260" s="343"/>
      <c r="P260" s="343"/>
      <c r="Q260" s="343"/>
      <c r="R260" s="343"/>
      <c r="S260" s="343"/>
      <c r="T260" s="343"/>
      <c r="U260" s="343"/>
      <c r="V260" s="343"/>
      <c r="W260" s="343"/>
    </row>
    <row r="261" spans="1:23" ht="19.5" thickBot="1" x14ac:dyDescent="0.25">
      <c r="A261" s="352" t="str">
        <f>IF(F261&lt;&gt;"",1+MAX($A$6:A260),"")</f>
        <v/>
      </c>
      <c r="B261" s="353"/>
      <c r="C261" s="354"/>
      <c r="D261" s="354" t="s">
        <v>721</v>
      </c>
      <c r="E261" s="355" t="s">
        <v>722</v>
      </c>
      <c r="F261" s="447"/>
      <c r="G261" s="355"/>
      <c r="H261" s="355"/>
      <c r="I261" s="355"/>
      <c r="J261" s="355"/>
      <c r="K261" s="355"/>
      <c r="L261" s="356"/>
      <c r="M261" s="345"/>
      <c r="N261" s="345"/>
      <c r="O261" s="345"/>
      <c r="P261" s="345"/>
      <c r="Q261" s="345"/>
      <c r="R261" s="343"/>
      <c r="S261" s="343"/>
      <c r="T261" s="343"/>
      <c r="U261" s="343"/>
      <c r="V261" s="343"/>
      <c r="W261" s="343"/>
    </row>
    <row r="262" spans="1:23" ht="19.5" thickBot="1" x14ac:dyDescent="0.25">
      <c r="A262" s="352" t="str">
        <f>IF(F262&lt;&gt;"",1+MAX($A$6:A261),"")</f>
        <v/>
      </c>
      <c r="B262" s="357"/>
      <c r="C262" s="358"/>
      <c r="D262" s="359" t="s">
        <v>511</v>
      </c>
      <c r="E262" s="360" t="s">
        <v>723</v>
      </c>
      <c r="F262" s="359"/>
      <c r="G262" s="424"/>
      <c r="H262" s="425"/>
      <c r="I262" s="426"/>
      <c r="J262" s="427"/>
      <c r="K262" s="428"/>
      <c r="L262" s="429"/>
      <c r="M262" s="345"/>
      <c r="N262" s="345"/>
      <c r="O262" s="345"/>
      <c r="P262" s="345"/>
      <c r="Q262" s="345"/>
      <c r="R262" s="343"/>
      <c r="S262" s="343"/>
      <c r="T262" s="343"/>
      <c r="U262" s="343"/>
      <c r="V262" s="343"/>
      <c r="W262" s="343"/>
    </row>
    <row r="263" spans="1:23" ht="47.25" customHeight="1" thickBot="1" x14ac:dyDescent="0.25">
      <c r="A263" s="352" t="str">
        <f>IF(F263&lt;&gt;"",1+MAX($A$6:A262),"")</f>
        <v/>
      </c>
      <c r="B263" s="141"/>
      <c r="C263" s="364"/>
      <c r="D263" s="370"/>
      <c r="E263" s="363" t="s">
        <v>724</v>
      </c>
      <c r="F263" s="430"/>
      <c r="G263" s="431"/>
      <c r="H263" s="430"/>
      <c r="I263" s="432"/>
      <c r="J263" s="134"/>
      <c r="K263" s="433"/>
      <c r="L263" s="434"/>
      <c r="M263" s="343"/>
      <c r="N263" s="343"/>
      <c r="O263" s="343"/>
      <c r="P263" s="343"/>
      <c r="Q263" s="343"/>
      <c r="R263" s="343"/>
      <c r="S263" s="343"/>
      <c r="T263" s="343"/>
      <c r="U263" s="343"/>
      <c r="V263" s="343"/>
      <c r="W263" s="343"/>
    </row>
    <row r="264" spans="1:23" ht="16.5" customHeight="1" thickBot="1" x14ac:dyDescent="0.25">
      <c r="A264" s="352" t="str">
        <f>IF(F264&lt;&gt;"",1+MAX($A$6:A263),"")</f>
        <v/>
      </c>
      <c r="B264" s="367"/>
      <c r="C264" s="364"/>
      <c r="D264" s="365"/>
      <c r="E264" s="366" t="s">
        <v>725</v>
      </c>
      <c r="F264" s="435"/>
      <c r="G264" s="431"/>
      <c r="H264" s="430"/>
      <c r="I264" s="432"/>
      <c r="J264" s="134"/>
      <c r="K264" s="428"/>
      <c r="L264" s="429"/>
      <c r="M264" s="345"/>
      <c r="N264" s="345"/>
      <c r="O264" s="345"/>
      <c r="P264" s="345"/>
      <c r="Q264" s="345"/>
      <c r="R264" s="343"/>
      <c r="S264" s="343"/>
      <c r="T264" s="343"/>
      <c r="U264" s="343"/>
      <c r="V264" s="343"/>
      <c r="W264" s="343"/>
    </row>
    <row r="265" spans="1:23" ht="63" x14ac:dyDescent="0.2">
      <c r="A265" s="352">
        <f>IF(F265&lt;&gt;"",1+MAX($A$6:A264),"")</f>
        <v>196</v>
      </c>
      <c r="B265" s="367" t="s">
        <v>726</v>
      </c>
      <c r="C265" s="381"/>
      <c r="D265" s="368"/>
      <c r="E265" s="374" t="s">
        <v>727</v>
      </c>
      <c r="F265" s="128">
        <v>1676.75</v>
      </c>
      <c r="G265" s="436">
        <v>0.1</v>
      </c>
      <c r="H265" s="140">
        <f>F265*(1+G265)</f>
        <v>1844.4250000000002</v>
      </c>
      <c r="I265" s="141" t="s">
        <v>15</v>
      </c>
      <c r="J265" s="817">
        <v>0</v>
      </c>
      <c r="K265" s="437">
        <f t="shared" ref="K265:K268" si="124">J265*H265</f>
        <v>0</v>
      </c>
      <c r="L265" s="429"/>
      <c r="M265" s="343"/>
      <c r="N265" s="343"/>
      <c r="O265" s="343"/>
      <c r="P265" s="343"/>
      <c r="Q265" s="343"/>
      <c r="R265" s="343"/>
      <c r="S265" s="343"/>
      <c r="T265" s="343"/>
      <c r="U265" s="343"/>
      <c r="V265" s="343"/>
      <c r="W265" s="343"/>
    </row>
    <row r="266" spans="1:23" ht="63" x14ac:dyDescent="0.2">
      <c r="A266" s="352">
        <f>IF(F266&lt;&gt;"",1+MAX($A$6:A265),"")</f>
        <v>197</v>
      </c>
      <c r="B266" s="367" t="s">
        <v>726</v>
      </c>
      <c r="C266" s="381"/>
      <c r="D266" s="368"/>
      <c r="E266" s="374" t="s">
        <v>728</v>
      </c>
      <c r="F266" s="128">
        <v>1531.77</v>
      </c>
      <c r="G266" s="436">
        <v>0.1</v>
      </c>
      <c r="H266" s="140">
        <f>F266*(1+G266)</f>
        <v>1684.9470000000001</v>
      </c>
      <c r="I266" s="141" t="s">
        <v>15</v>
      </c>
      <c r="J266" s="817">
        <v>0</v>
      </c>
      <c r="K266" s="437">
        <f t="shared" si="124"/>
        <v>0</v>
      </c>
      <c r="L266" s="429"/>
      <c r="M266" s="343"/>
      <c r="N266" s="343"/>
      <c r="O266" s="343"/>
      <c r="P266" s="343"/>
      <c r="Q266" s="343"/>
      <c r="R266" s="343"/>
      <c r="S266" s="343"/>
      <c r="T266" s="343"/>
      <c r="U266" s="343"/>
      <c r="V266" s="343"/>
      <c r="W266" s="343"/>
    </row>
    <row r="267" spans="1:23" ht="63" x14ac:dyDescent="0.2">
      <c r="A267" s="352">
        <f>IF(F267&lt;&gt;"",1+MAX($A$6:A266),"")</f>
        <v>198</v>
      </c>
      <c r="B267" s="367" t="s">
        <v>726</v>
      </c>
      <c r="C267" s="381"/>
      <c r="D267" s="368"/>
      <c r="E267" s="374" t="s">
        <v>729</v>
      </c>
      <c r="F267" s="128">
        <v>392.90000000000003</v>
      </c>
      <c r="G267" s="436">
        <v>0.1</v>
      </c>
      <c r="H267" s="140">
        <f>F267*(1+G267)</f>
        <v>432.19000000000005</v>
      </c>
      <c r="I267" s="141" t="s">
        <v>15</v>
      </c>
      <c r="J267" s="817">
        <v>0</v>
      </c>
      <c r="K267" s="437">
        <f t="shared" si="124"/>
        <v>0</v>
      </c>
      <c r="L267" s="429"/>
      <c r="M267" s="343"/>
      <c r="N267" s="343"/>
      <c r="O267" s="343"/>
      <c r="P267" s="343"/>
      <c r="Q267" s="343"/>
      <c r="R267" s="343"/>
      <c r="S267" s="343"/>
      <c r="T267" s="343"/>
      <c r="U267" s="343"/>
      <c r="V267" s="343"/>
      <c r="W267" s="343"/>
    </row>
    <row r="268" spans="1:23" ht="63" x14ac:dyDescent="0.2">
      <c r="A268" s="352">
        <f>IF(F268&lt;&gt;"",1+MAX($A$6:A267),"")</f>
        <v>199</v>
      </c>
      <c r="B268" s="367" t="s">
        <v>726</v>
      </c>
      <c r="C268" s="381"/>
      <c r="D268" s="368"/>
      <c r="E268" s="374" t="s">
        <v>730</v>
      </c>
      <c r="F268" s="128">
        <v>48.01</v>
      </c>
      <c r="G268" s="436">
        <v>0.1</v>
      </c>
      <c r="H268" s="140">
        <f>F268*(1+G268)</f>
        <v>52.811</v>
      </c>
      <c r="I268" s="141" t="s">
        <v>15</v>
      </c>
      <c r="J268" s="817">
        <v>0</v>
      </c>
      <c r="K268" s="437">
        <f t="shared" si="124"/>
        <v>0</v>
      </c>
      <c r="L268" s="429"/>
      <c r="M268" s="343"/>
      <c r="N268" s="343"/>
      <c r="O268" s="343"/>
      <c r="P268" s="343"/>
      <c r="Q268" s="343"/>
      <c r="R268" s="343"/>
      <c r="S268" s="343"/>
      <c r="T268" s="343"/>
      <c r="U268" s="343"/>
      <c r="V268" s="343"/>
      <c r="W268" s="343"/>
    </row>
    <row r="269" spans="1:23" x14ac:dyDescent="0.2">
      <c r="A269" s="352" t="str">
        <f>IF(F269&lt;&gt;"",1+MAX($A$6:A268),"")</f>
        <v/>
      </c>
      <c r="B269" s="141"/>
      <c r="C269" s="364"/>
      <c r="D269" s="370"/>
      <c r="E269" s="371"/>
      <c r="F269" s="430"/>
      <c r="G269" s="431"/>
      <c r="H269" s="430"/>
      <c r="I269" s="432"/>
      <c r="J269" s="134"/>
      <c r="K269" s="437"/>
      <c r="L269" s="434"/>
      <c r="M269" s="343"/>
      <c r="N269" s="343"/>
      <c r="O269" s="343"/>
      <c r="P269" s="343"/>
      <c r="Q269" s="343"/>
      <c r="R269" s="343"/>
      <c r="S269" s="343"/>
      <c r="T269" s="343"/>
      <c r="U269" s="343"/>
      <c r="V269" s="343"/>
      <c r="W269" s="343"/>
    </row>
    <row r="270" spans="1:23" ht="63" x14ac:dyDescent="0.2">
      <c r="A270" s="352">
        <f>IF(F270&lt;&gt;"",1+MAX($A$6:A269),"")</f>
        <v>200</v>
      </c>
      <c r="B270" s="367" t="s">
        <v>726</v>
      </c>
      <c r="C270" s="381"/>
      <c r="D270" s="368"/>
      <c r="E270" s="373" t="s">
        <v>731</v>
      </c>
      <c r="F270" s="128">
        <v>21.87</v>
      </c>
      <c r="G270" s="436">
        <v>0.1</v>
      </c>
      <c r="H270" s="140">
        <f>F270*(1+G270)</f>
        <v>24.057000000000002</v>
      </c>
      <c r="I270" s="141" t="s">
        <v>15</v>
      </c>
      <c r="J270" s="817">
        <v>0</v>
      </c>
      <c r="K270" s="437">
        <f t="shared" ref="K270:K272" si="125">J270*H270</f>
        <v>0</v>
      </c>
      <c r="L270" s="429"/>
      <c r="M270" s="343"/>
      <c r="N270" s="343"/>
      <c r="O270" s="343"/>
      <c r="P270" s="343"/>
      <c r="Q270" s="343"/>
      <c r="R270" s="343"/>
      <c r="S270" s="343"/>
      <c r="T270" s="343"/>
      <c r="U270" s="343"/>
      <c r="V270" s="343"/>
      <c r="W270" s="343"/>
    </row>
    <row r="271" spans="1:23" ht="63" x14ac:dyDescent="0.2">
      <c r="A271" s="352">
        <f>IF(F271&lt;&gt;"",1+MAX($A$6:A270),"")</f>
        <v>201</v>
      </c>
      <c r="B271" s="367" t="s">
        <v>726</v>
      </c>
      <c r="C271" s="381"/>
      <c r="D271" s="368"/>
      <c r="E271" s="374" t="s">
        <v>732</v>
      </c>
      <c r="F271" s="128">
        <v>1469.2</v>
      </c>
      <c r="G271" s="436">
        <v>0.1</v>
      </c>
      <c r="H271" s="140">
        <f>F271*(1+G271)</f>
        <v>1616.1200000000001</v>
      </c>
      <c r="I271" s="141" t="s">
        <v>15</v>
      </c>
      <c r="J271" s="817">
        <v>0</v>
      </c>
      <c r="K271" s="437">
        <f t="shared" si="125"/>
        <v>0</v>
      </c>
      <c r="L271" s="429"/>
      <c r="M271" s="343"/>
      <c r="N271" s="343"/>
      <c r="O271" s="343"/>
      <c r="P271" s="343"/>
      <c r="Q271" s="343"/>
      <c r="R271" s="343"/>
      <c r="S271" s="343"/>
      <c r="T271" s="343"/>
      <c r="U271" s="343"/>
      <c r="V271" s="343"/>
      <c r="W271" s="343"/>
    </row>
    <row r="272" spans="1:23" ht="63" x14ac:dyDescent="0.2">
      <c r="A272" s="352">
        <f>IF(F272&lt;&gt;"",1+MAX($A$6:A271),"")</f>
        <v>202</v>
      </c>
      <c r="B272" s="367" t="s">
        <v>726</v>
      </c>
      <c r="C272" s="381"/>
      <c r="D272" s="368"/>
      <c r="E272" s="374" t="s">
        <v>733</v>
      </c>
      <c r="F272" s="128">
        <v>370.5</v>
      </c>
      <c r="G272" s="436">
        <v>0.1</v>
      </c>
      <c r="H272" s="140">
        <f t="shared" ref="H272:H282" si="126">F272*(1+G272)</f>
        <v>407.55</v>
      </c>
      <c r="I272" s="141" t="s">
        <v>15</v>
      </c>
      <c r="J272" s="817">
        <v>0</v>
      </c>
      <c r="K272" s="437">
        <f t="shared" si="125"/>
        <v>0</v>
      </c>
      <c r="L272" s="429"/>
      <c r="M272" s="343"/>
      <c r="N272" s="343"/>
      <c r="O272" s="343"/>
      <c r="P272" s="343"/>
      <c r="Q272" s="343"/>
      <c r="R272" s="343"/>
      <c r="S272" s="343"/>
      <c r="T272" s="343"/>
      <c r="U272" s="343"/>
      <c r="V272" s="343"/>
      <c r="W272" s="343"/>
    </row>
    <row r="273" spans="1:23" x14ac:dyDescent="0.2">
      <c r="A273" s="352" t="str">
        <f>IF(F273&lt;&gt;"",1+MAX($A$6:A272),"")</f>
        <v/>
      </c>
      <c r="B273" s="141"/>
      <c r="C273" s="364"/>
      <c r="D273" s="370"/>
      <c r="E273" s="371"/>
      <c r="F273" s="430"/>
      <c r="G273" s="431"/>
      <c r="H273" s="430"/>
      <c r="I273" s="432"/>
      <c r="J273" s="134"/>
      <c r="K273" s="437"/>
      <c r="L273" s="434"/>
      <c r="M273" s="343"/>
      <c r="N273" s="343"/>
      <c r="O273" s="343"/>
      <c r="P273" s="343"/>
      <c r="Q273" s="343"/>
      <c r="R273" s="343"/>
      <c r="S273" s="343"/>
      <c r="T273" s="343"/>
      <c r="U273" s="343"/>
      <c r="V273" s="343"/>
      <c r="W273" s="343"/>
    </row>
    <row r="274" spans="1:23" ht="63" x14ac:dyDescent="0.2">
      <c r="A274" s="352">
        <f>IF(F274&lt;&gt;"",1+MAX($A$6:A273),"")</f>
        <v>203</v>
      </c>
      <c r="B274" s="367" t="s">
        <v>726</v>
      </c>
      <c r="C274" s="381"/>
      <c r="D274" s="368"/>
      <c r="E274" s="374" t="s">
        <v>734</v>
      </c>
      <c r="F274" s="128">
        <v>13</v>
      </c>
      <c r="G274" s="436">
        <v>0.1</v>
      </c>
      <c r="H274" s="140">
        <f>F274*(1+G274)</f>
        <v>14.3</v>
      </c>
      <c r="I274" s="141" t="s">
        <v>15</v>
      </c>
      <c r="J274" s="817">
        <v>0</v>
      </c>
      <c r="K274" s="437">
        <f t="shared" ref="K274:K282" si="127">J274*H274</f>
        <v>0</v>
      </c>
      <c r="L274" s="429"/>
      <c r="M274" s="343"/>
      <c r="N274" s="343"/>
      <c r="O274" s="343"/>
      <c r="P274" s="343"/>
      <c r="Q274" s="343"/>
      <c r="R274" s="343"/>
      <c r="S274" s="343"/>
      <c r="T274" s="343"/>
      <c r="U274" s="343"/>
      <c r="V274" s="343"/>
      <c r="W274" s="343"/>
    </row>
    <row r="275" spans="1:23" ht="63" x14ac:dyDescent="0.2">
      <c r="A275" s="352">
        <f>IF(F275&lt;&gt;"",1+MAX($A$6:A274),"")</f>
        <v>204</v>
      </c>
      <c r="B275" s="367" t="s">
        <v>726</v>
      </c>
      <c r="C275" s="381"/>
      <c r="D275" s="368"/>
      <c r="E275" s="374" t="s">
        <v>735</v>
      </c>
      <c r="F275" s="128">
        <v>24.47</v>
      </c>
      <c r="G275" s="436">
        <v>0.1</v>
      </c>
      <c r="H275" s="140">
        <f>F275*(1+G275)</f>
        <v>26.917000000000002</v>
      </c>
      <c r="I275" s="141" t="s">
        <v>15</v>
      </c>
      <c r="J275" s="438">
        <f t="shared" ref="J275" si="128">J$274</f>
        <v>0</v>
      </c>
      <c r="K275" s="437">
        <f t="shared" si="127"/>
        <v>0</v>
      </c>
      <c r="L275" s="429"/>
      <c r="M275" s="343"/>
      <c r="N275" s="343"/>
      <c r="O275" s="343"/>
      <c r="P275" s="343"/>
      <c r="Q275" s="343"/>
      <c r="R275" s="343"/>
      <c r="S275" s="343"/>
      <c r="T275" s="343"/>
      <c r="U275" s="343"/>
      <c r="V275" s="343"/>
      <c r="W275" s="343"/>
    </row>
    <row r="276" spans="1:23" ht="63" x14ac:dyDescent="0.2">
      <c r="A276" s="352">
        <f>IF(F276&lt;&gt;"",1+MAX($A$6:A275),"")</f>
        <v>205</v>
      </c>
      <c r="B276" s="367" t="s">
        <v>726</v>
      </c>
      <c r="C276" s="381"/>
      <c r="D276" s="368"/>
      <c r="E276" s="374" t="s">
        <v>736</v>
      </c>
      <c r="F276" s="128">
        <v>12.66</v>
      </c>
      <c r="G276" s="436">
        <v>0.1</v>
      </c>
      <c r="H276" s="140">
        <f t="shared" si="126"/>
        <v>13.926000000000002</v>
      </c>
      <c r="I276" s="141" t="s">
        <v>15</v>
      </c>
      <c r="J276" s="817">
        <v>0</v>
      </c>
      <c r="K276" s="437">
        <f t="shared" si="127"/>
        <v>0</v>
      </c>
      <c r="L276" s="429"/>
      <c r="M276" s="343"/>
      <c r="N276" s="343"/>
      <c r="O276" s="343"/>
      <c r="P276" s="343"/>
      <c r="Q276" s="343"/>
      <c r="R276" s="343"/>
      <c r="S276" s="343"/>
      <c r="T276" s="343"/>
      <c r="U276" s="343"/>
      <c r="V276" s="343"/>
      <c r="W276" s="343"/>
    </row>
    <row r="277" spans="1:23" ht="63" x14ac:dyDescent="0.2">
      <c r="A277" s="352">
        <f>IF(F277&lt;&gt;"",1+MAX($A$6:A276),"")</f>
        <v>206</v>
      </c>
      <c r="B277" s="367" t="s">
        <v>726</v>
      </c>
      <c r="C277" s="381"/>
      <c r="D277" s="368"/>
      <c r="E277" s="374" t="s">
        <v>737</v>
      </c>
      <c r="F277" s="128">
        <v>38.049999999999997</v>
      </c>
      <c r="G277" s="436">
        <v>0.1</v>
      </c>
      <c r="H277" s="140">
        <f t="shared" si="126"/>
        <v>41.854999999999997</v>
      </c>
      <c r="I277" s="141" t="s">
        <v>15</v>
      </c>
      <c r="J277" s="817">
        <v>0</v>
      </c>
      <c r="K277" s="437">
        <f t="shared" si="127"/>
        <v>0</v>
      </c>
      <c r="L277" s="429"/>
      <c r="M277" s="343"/>
      <c r="N277" s="343"/>
      <c r="O277" s="343"/>
      <c r="P277" s="343"/>
      <c r="Q277" s="343"/>
      <c r="R277" s="343"/>
      <c r="S277" s="343"/>
      <c r="T277" s="343"/>
      <c r="U277" s="343"/>
      <c r="V277" s="343"/>
      <c r="W277" s="343"/>
    </row>
    <row r="278" spans="1:23" ht="63" x14ac:dyDescent="0.2">
      <c r="A278" s="352">
        <f>IF(F278&lt;&gt;"",1+MAX($A$6:A277),"")</f>
        <v>207</v>
      </c>
      <c r="B278" s="367" t="s">
        <v>726</v>
      </c>
      <c r="C278" s="381"/>
      <c r="D278" s="368"/>
      <c r="E278" s="374" t="s">
        <v>738</v>
      </c>
      <c r="F278" s="128">
        <v>7.26</v>
      </c>
      <c r="G278" s="436">
        <v>0.1</v>
      </c>
      <c r="H278" s="140">
        <f t="shared" si="126"/>
        <v>7.9860000000000007</v>
      </c>
      <c r="I278" s="141" t="s">
        <v>15</v>
      </c>
      <c r="J278" s="817">
        <v>0</v>
      </c>
      <c r="K278" s="437">
        <f t="shared" si="127"/>
        <v>0</v>
      </c>
      <c r="L278" s="429"/>
      <c r="M278" s="343"/>
      <c r="N278" s="343"/>
      <c r="O278" s="343"/>
      <c r="P278" s="343"/>
      <c r="Q278" s="343"/>
      <c r="R278" s="343"/>
      <c r="S278" s="343"/>
      <c r="T278" s="343"/>
      <c r="U278" s="343"/>
      <c r="V278" s="343"/>
      <c r="W278" s="343"/>
    </row>
    <row r="279" spans="1:23" ht="63" x14ac:dyDescent="0.2">
      <c r="A279" s="352">
        <f>IF(F279&lt;&gt;"",1+MAX($A$6:A278),"")</f>
        <v>208</v>
      </c>
      <c r="B279" s="367" t="s">
        <v>726</v>
      </c>
      <c r="C279" s="381"/>
      <c r="D279" s="368"/>
      <c r="E279" s="373" t="s">
        <v>739</v>
      </c>
      <c r="F279" s="128">
        <v>28.77</v>
      </c>
      <c r="G279" s="436">
        <v>0.1</v>
      </c>
      <c r="H279" s="140">
        <f t="shared" si="126"/>
        <v>31.647000000000002</v>
      </c>
      <c r="I279" s="141" t="s">
        <v>15</v>
      </c>
      <c r="J279" s="817">
        <v>0</v>
      </c>
      <c r="K279" s="437">
        <f t="shared" si="127"/>
        <v>0</v>
      </c>
      <c r="L279" s="429"/>
      <c r="M279" s="343"/>
      <c r="N279" s="343"/>
      <c r="O279" s="343"/>
      <c r="P279" s="343"/>
      <c r="Q279" s="343"/>
      <c r="R279" s="343"/>
      <c r="S279" s="343"/>
      <c r="T279" s="343"/>
      <c r="U279" s="343"/>
      <c r="V279" s="343"/>
      <c r="W279" s="343"/>
    </row>
    <row r="280" spans="1:23" ht="63" x14ac:dyDescent="0.2">
      <c r="A280" s="352">
        <f>IF(F280&lt;&gt;"",1+MAX($A$6:A279),"")</f>
        <v>209</v>
      </c>
      <c r="B280" s="367" t="s">
        <v>726</v>
      </c>
      <c r="C280" s="381"/>
      <c r="D280" s="368"/>
      <c r="E280" s="373" t="s">
        <v>740</v>
      </c>
      <c r="F280" s="128">
        <v>13.4</v>
      </c>
      <c r="G280" s="436">
        <v>0.1</v>
      </c>
      <c r="H280" s="140">
        <f t="shared" si="126"/>
        <v>14.740000000000002</v>
      </c>
      <c r="I280" s="141" t="s">
        <v>15</v>
      </c>
      <c r="J280" s="817">
        <v>0</v>
      </c>
      <c r="K280" s="437">
        <f t="shared" si="127"/>
        <v>0</v>
      </c>
      <c r="L280" s="429"/>
      <c r="M280" s="343"/>
      <c r="N280" s="343"/>
      <c r="O280" s="343"/>
      <c r="P280" s="343"/>
      <c r="Q280" s="343"/>
      <c r="R280" s="343"/>
      <c r="S280" s="343"/>
      <c r="T280" s="343"/>
      <c r="U280" s="343"/>
      <c r="V280" s="343"/>
      <c r="W280" s="343"/>
    </row>
    <row r="281" spans="1:23" ht="63" x14ac:dyDescent="0.2">
      <c r="A281" s="352">
        <f>IF(F281&lt;&gt;"",1+MAX($A$6:A280),"")</f>
        <v>210</v>
      </c>
      <c r="B281" s="367" t="s">
        <v>726</v>
      </c>
      <c r="C281" s="381"/>
      <c r="D281" s="368"/>
      <c r="E281" s="374" t="s">
        <v>741</v>
      </c>
      <c r="F281" s="128">
        <v>45.84</v>
      </c>
      <c r="G281" s="436">
        <v>0.1</v>
      </c>
      <c r="H281" s="140">
        <f t="shared" si="126"/>
        <v>50.424000000000007</v>
      </c>
      <c r="I281" s="141" t="s">
        <v>15</v>
      </c>
      <c r="J281" s="817">
        <v>0</v>
      </c>
      <c r="K281" s="437">
        <f t="shared" si="127"/>
        <v>0</v>
      </c>
      <c r="L281" s="429"/>
      <c r="M281" s="343"/>
      <c r="N281" s="343"/>
      <c r="O281" s="343"/>
      <c r="P281" s="343"/>
      <c r="Q281" s="343"/>
      <c r="R281" s="343"/>
      <c r="S281" s="343"/>
      <c r="T281" s="343"/>
      <c r="U281" s="343"/>
      <c r="V281" s="343"/>
      <c r="W281" s="343"/>
    </row>
    <row r="282" spans="1:23" ht="63" x14ac:dyDescent="0.2">
      <c r="A282" s="352">
        <f>IF(F282&lt;&gt;"",1+MAX($A$6:A281),"")</f>
        <v>211</v>
      </c>
      <c r="B282" s="367" t="s">
        <v>726</v>
      </c>
      <c r="C282" s="381"/>
      <c r="D282" s="368"/>
      <c r="E282" s="374" t="s">
        <v>742</v>
      </c>
      <c r="F282" s="128">
        <v>8.64</v>
      </c>
      <c r="G282" s="436">
        <v>0.1</v>
      </c>
      <c r="H282" s="140">
        <f t="shared" si="126"/>
        <v>9.5040000000000013</v>
      </c>
      <c r="I282" s="141" t="s">
        <v>15</v>
      </c>
      <c r="J282" s="817">
        <v>0</v>
      </c>
      <c r="K282" s="437">
        <f t="shared" si="127"/>
        <v>0</v>
      </c>
      <c r="L282" s="429"/>
      <c r="M282" s="343"/>
      <c r="N282" s="343"/>
      <c r="O282" s="343"/>
      <c r="P282" s="343"/>
      <c r="Q282" s="343"/>
      <c r="R282" s="343"/>
      <c r="S282" s="343"/>
      <c r="T282" s="343"/>
      <c r="U282" s="343"/>
      <c r="V282" s="343"/>
      <c r="W282" s="343"/>
    </row>
    <row r="283" spans="1:23" ht="16.5" thickBot="1" x14ac:dyDescent="0.25">
      <c r="A283" s="352" t="str">
        <f>IF(F283&lt;&gt;"",1+MAX($A$6:A282),"")</f>
        <v/>
      </c>
      <c r="B283" s="141"/>
      <c r="C283" s="364"/>
      <c r="D283" s="370"/>
      <c r="E283" s="371"/>
      <c r="F283" s="430"/>
      <c r="G283" s="431"/>
      <c r="H283" s="430"/>
      <c r="I283" s="432"/>
      <c r="J283" s="134"/>
      <c r="K283" s="437"/>
      <c r="L283" s="434"/>
      <c r="M283" s="343"/>
      <c r="N283" s="343"/>
      <c r="O283" s="343"/>
      <c r="P283" s="343"/>
      <c r="Q283" s="343"/>
      <c r="R283" s="343"/>
      <c r="S283" s="343"/>
      <c r="T283" s="343"/>
      <c r="U283" s="343"/>
      <c r="V283" s="343"/>
      <c r="W283" s="343"/>
    </row>
    <row r="284" spans="1:23" ht="16.5" customHeight="1" thickBot="1" x14ac:dyDescent="0.25">
      <c r="A284" s="352" t="str">
        <f>IF(F284&lt;&gt;"",1+MAX($A$6:A283),"")</f>
        <v/>
      </c>
      <c r="B284" s="367"/>
      <c r="C284" s="364"/>
      <c r="D284" s="365"/>
      <c r="E284" s="366" t="s">
        <v>743</v>
      </c>
      <c r="F284" s="435"/>
      <c r="G284" s="431"/>
      <c r="H284" s="430"/>
      <c r="I284" s="432"/>
      <c r="J284" s="134"/>
      <c r="K284" s="428"/>
      <c r="L284" s="429"/>
      <c r="M284" s="345"/>
      <c r="N284" s="345"/>
      <c r="O284" s="345"/>
      <c r="P284" s="345"/>
      <c r="Q284" s="345"/>
      <c r="R284" s="343"/>
      <c r="S284" s="343"/>
      <c r="T284" s="343"/>
      <c r="U284" s="343"/>
      <c r="V284" s="343"/>
      <c r="W284" s="343"/>
    </row>
    <row r="285" spans="1:23" ht="31.5" x14ac:dyDescent="0.2">
      <c r="A285" s="352">
        <f>IF(F285&lt;&gt;"",1+MAX($A$6:A284),"")</f>
        <v>212</v>
      </c>
      <c r="B285" s="367" t="s">
        <v>744</v>
      </c>
      <c r="C285" s="381"/>
      <c r="D285" s="368"/>
      <c r="E285" s="374" t="s">
        <v>745</v>
      </c>
      <c r="F285" s="128">
        <f>11+10*3</f>
        <v>41</v>
      </c>
      <c r="G285" s="436">
        <v>0.1</v>
      </c>
      <c r="H285" s="140">
        <f t="shared" ref="H285:H288" si="129">F285*(1+G285)</f>
        <v>45.1</v>
      </c>
      <c r="I285" s="141" t="s">
        <v>15</v>
      </c>
      <c r="J285" s="438">
        <f t="shared" ref="J285" si="130">J$265</f>
        <v>0</v>
      </c>
      <c r="K285" s="437">
        <f t="shared" ref="K285:K288" si="131">J285*H285</f>
        <v>0</v>
      </c>
      <c r="L285" s="429"/>
      <c r="M285" s="343"/>
      <c r="N285" s="343"/>
      <c r="O285" s="343"/>
      <c r="P285" s="343"/>
      <c r="Q285" s="343"/>
      <c r="R285" s="343"/>
      <c r="S285" s="343"/>
      <c r="T285" s="343"/>
      <c r="U285" s="343"/>
      <c r="V285" s="343"/>
      <c r="W285" s="343"/>
    </row>
    <row r="286" spans="1:23" ht="31.5" x14ac:dyDescent="0.2">
      <c r="A286" s="352">
        <f>IF(F286&lt;&gt;"",1+MAX($A$6:A285),"")</f>
        <v>213</v>
      </c>
      <c r="B286" s="367" t="s">
        <v>744</v>
      </c>
      <c r="C286" s="381"/>
      <c r="D286" s="368"/>
      <c r="E286" s="374" t="s">
        <v>746</v>
      </c>
      <c r="F286" s="128">
        <f>3*8</f>
        <v>24</v>
      </c>
      <c r="G286" s="436">
        <v>0.1</v>
      </c>
      <c r="H286" s="140">
        <f t="shared" si="129"/>
        <v>26.400000000000002</v>
      </c>
      <c r="I286" s="141" t="s">
        <v>15</v>
      </c>
      <c r="J286" s="438">
        <f>J$266</f>
        <v>0</v>
      </c>
      <c r="K286" s="437">
        <f t="shared" si="131"/>
        <v>0</v>
      </c>
      <c r="L286" s="429"/>
      <c r="M286" s="343"/>
      <c r="N286" s="343"/>
      <c r="O286" s="343"/>
      <c r="P286" s="343"/>
      <c r="Q286" s="343"/>
      <c r="R286" s="343"/>
      <c r="S286" s="343"/>
      <c r="T286" s="343"/>
      <c r="U286" s="343"/>
      <c r="V286" s="343"/>
      <c r="W286" s="343"/>
    </row>
    <row r="287" spans="1:23" ht="31.5" x14ac:dyDescent="0.2">
      <c r="A287" s="352">
        <f>IF(F287&lt;&gt;"",1+MAX($A$6:A286),"")</f>
        <v>214</v>
      </c>
      <c r="B287" s="367" t="s">
        <v>744</v>
      </c>
      <c r="C287" s="381"/>
      <c r="D287" s="368"/>
      <c r="E287" s="374" t="s">
        <v>747</v>
      </c>
      <c r="F287" s="128">
        <v>11</v>
      </c>
      <c r="G287" s="436">
        <v>0.1</v>
      </c>
      <c r="H287" s="140">
        <f t="shared" si="129"/>
        <v>12.100000000000001</v>
      </c>
      <c r="I287" s="141" t="s">
        <v>15</v>
      </c>
      <c r="J287" s="438">
        <f t="shared" ref="J287" si="132">J$267</f>
        <v>0</v>
      </c>
      <c r="K287" s="437">
        <f t="shared" si="131"/>
        <v>0</v>
      </c>
      <c r="L287" s="429"/>
      <c r="M287" s="343"/>
      <c r="N287" s="343"/>
      <c r="O287" s="343"/>
      <c r="P287" s="343"/>
      <c r="Q287" s="343"/>
      <c r="R287" s="343"/>
      <c r="S287" s="343"/>
      <c r="T287" s="343"/>
      <c r="U287" s="343"/>
      <c r="V287" s="343"/>
      <c r="W287" s="343"/>
    </row>
    <row r="288" spans="1:23" ht="31.5" x14ac:dyDescent="0.2">
      <c r="A288" s="352">
        <f>IF(F288&lt;&gt;"",1+MAX($A$6:A287),"")</f>
        <v>215</v>
      </c>
      <c r="B288" s="367" t="s">
        <v>744</v>
      </c>
      <c r="C288" s="381"/>
      <c r="D288" s="368"/>
      <c r="E288" s="374" t="s">
        <v>748</v>
      </c>
      <c r="F288" s="128">
        <v>11</v>
      </c>
      <c r="G288" s="436">
        <v>0.1</v>
      </c>
      <c r="H288" s="140">
        <f t="shared" si="129"/>
        <v>12.100000000000001</v>
      </c>
      <c r="I288" s="141" t="s">
        <v>15</v>
      </c>
      <c r="J288" s="438">
        <f t="shared" ref="J288" si="133">J$268</f>
        <v>0</v>
      </c>
      <c r="K288" s="437">
        <f t="shared" si="131"/>
        <v>0</v>
      </c>
      <c r="L288" s="429"/>
      <c r="M288" s="343"/>
      <c r="N288" s="343"/>
      <c r="O288" s="343"/>
      <c r="P288" s="343"/>
      <c r="Q288" s="343"/>
      <c r="R288" s="343"/>
      <c r="S288" s="343"/>
      <c r="T288" s="343"/>
      <c r="U288" s="343"/>
      <c r="V288" s="343"/>
      <c r="W288" s="343"/>
    </row>
    <row r="289" spans="1:23" x14ac:dyDescent="0.2">
      <c r="A289" s="352" t="str">
        <f>IF(F289&lt;&gt;"",1+MAX($A$6:A288),"")</f>
        <v/>
      </c>
      <c r="B289" s="141"/>
      <c r="C289" s="364"/>
      <c r="D289" s="370"/>
      <c r="E289" s="371"/>
      <c r="F289" s="430"/>
      <c r="G289" s="431"/>
      <c r="H289" s="430"/>
      <c r="I289" s="432"/>
      <c r="J289" s="134"/>
      <c r="K289" s="433"/>
      <c r="L289" s="434"/>
      <c r="M289" s="343"/>
      <c r="N289" s="343"/>
      <c r="O289" s="343"/>
      <c r="P289" s="343"/>
      <c r="Q289" s="343"/>
      <c r="R289" s="343"/>
      <c r="S289" s="343"/>
      <c r="T289" s="343"/>
      <c r="U289" s="343"/>
      <c r="V289" s="343"/>
      <c r="W289" s="343"/>
    </row>
    <row r="290" spans="1:23" ht="31.5" x14ac:dyDescent="0.2">
      <c r="A290" s="352">
        <f>IF(F290&lt;&gt;"",1+MAX($A$6:A289),"")</f>
        <v>216</v>
      </c>
      <c r="B290" s="367" t="s">
        <v>744</v>
      </c>
      <c r="C290" s="381"/>
      <c r="D290" s="368"/>
      <c r="E290" s="374" t="s">
        <v>749</v>
      </c>
      <c r="F290" s="128">
        <v>13.5</v>
      </c>
      <c r="G290" s="436">
        <v>0.1</v>
      </c>
      <c r="H290" s="140">
        <f t="shared" ref="H290:H294" si="134">F290*(1+G290)</f>
        <v>14.850000000000001</v>
      </c>
      <c r="I290" s="141" t="s">
        <v>15</v>
      </c>
      <c r="J290" s="438">
        <f t="shared" ref="J290" si="135">J$274</f>
        <v>0</v>
      </c>
      <c r="K290" s="437">
        <f t="shared" ref="K290:K294" si="136">J290*H290</f>
        <v>0</v>
      </c>
      <c r="L290" s="429"/>
      <c r="M290" s="343"/>
      <c r="N290" s="343"/>
      <c r="O290" s="343"/>
      <c r="P290" s="343"/>
      <c r="Q290" s="343"/>
      <c r="R290" s="343"/>
      <c r="S290" s="343"/>
      <c r="T290" s="343"/>
      <c r="U290" s="343"/>
      <c r="V290" s="343"/>
      <c r="W290" s="343"/>
    </row>
    <row r="291" spans="1:23" ht="31.5" x14ac:dyDescent="0.2">
      <c r="A291" s="352">
        <f>IF(F291&lt;&gt;"",1+MAX($A$6:A290),"")</f>
        <v>217</v>
      </c>
      <c r="B291" s="367" t="s">
        <v>744</v>
      </c>
      <c r="C291" s="381"/>
      <c r="D291" s="368"/>
      <c r="E291" s="374" t="s">
        <v>750</v>
      </c>
      <c r="F291" s="128">
        <v>22.5</v>
      </c>
      <c r="G291" s="436">
        <v>0.1</v>
      </c>
      <c r="H291" s="140">
        <f t="shared" si="134"/>
        <v>24.750000000000004</v>
      </c>
      <c r="I291" s="141" t="s">
        <v>15</v>
      </c>
      <c r="J291" s="817">
        <v>0</v>
      </c>
      <c r="K291" s="437">
        <f t="shared" si="136"/>
        <v>0</v>
      </c>
      <c r="L291" s="429"/>
      <c r="M291" s="343"/>
      <c r="N291" s="343"/>
      <c r="O291" s="343"/>
      <c r="P291" s="343"/>
      <c r="Q291" s="343"/>
      <c r="R291" s="343"/>
      <c r="S291" s="343"/>
      <c r="T291" s="343"/>
      <c r="U291" s="343"/>
      <c r="V291" s="343"/>
      <c r="W291" s="343"/>
    </row>
    <row r="292" spans="1:23" ht="31.5" x14ac:dyDescent="0.2">
      <c r="A292" s="352">
        <f>IF(F292&lt;&gt;"",1+MAX($A$6:A291),"")</f>
        <v>218</v>
      </c>
      <c r="B292" s="367" t="s">
        <v>744</v>
      </c>
      <c r="C292" s="381"/>
      <c r="D292" s="368"/>
      <c r="E292" s="374" t="s">
        <v>751</v>
      </c>
      <c r="F292" s="128">
        <v>44</v>
      </c>
      <c r="G292" s="436">
        <v>0.1</v>
      </c>
      <c r="H292" s="140">
        <f t="shared" si="134"/>
        <v>48.400000000000006</v>
      </c>
      <c r="I292" s="141" t="s">
        <v>15</v>
      </c>
      <c r="J292" s="438">
        <f t="shared" ref="J292" si="137">J$274</f>
        <v>0</v>
      </c>
      <c r="K292" s="437">
        <f t="shared" si="136"/>
        <v>0</v>
      </c>
      <c r="L292" s="429"/>
      <c r="M292" s="343"/>
      <c r="N292" s="343"/>
      <c r="O292" s="343"/>
      <c r="P292" s="343"/>
      <c r="Q292" s="343"/>
      <c r="R292" s="343"/>
      <c r="S292" s="343"/>
      <c r="T292" s="343"/>
      <c r="U292" s="343"/>
      <c r="V292" s="343"/>
      <c r="W292" s="343"/>
    </row>
    <row r="293" spans="1:23" ht="31.5" x14ac:dyDescent="0.2">
      <c r="A293" s="352">
        <f>IF(F293&lt;&gt;"",1+MAX($A$6:A292),"")</f>
        <v>219</v>
      </c>
      <c r="B293" s="367" t="s">
        <v>744</v>
      </c>
      <c r="C293" s="381"/>
      <c r="D293" s="368"/>
      <c r="E293" s="374" t="s">
        <v>752</v>
      </c>
      <c r="F293" s="128">
        <v>2</v>
      </c>
      <c r="G293" s="436">
        <v>0.1</v>
      </c>
      <c r="H293" s="140">
        <f t="shared" si="134"/>
        <v>2.2000000000000002</v>
      </c>
      <c r="I293" s="141" t="s">
        <v>15</v>
      </c>
      <c r="J293" s="817">
        <v>0</v>
      </c>
      <c r="K293" s="437">
        <f t="shared" si="136"/>
        <v>0</v>
      </c>
      <c r="L293" s="429"/>
      <c r="M293" s="343"/>
      <c r="N293" s="343"/>
      <c r="O293" s="343"/>
      <c r="P293" s="343"/>
      <c r="Q293" s="343"/>
      <c r="R293" s="343"/>
      <c r="S293" s="343"/>
      <c r="T293" s="343"/>
      <c r="U293" s="343"/>
      <c r="V293" s="343"/>
      <c r="W293" s="343"/>
    </row>
    <row r="294" spans="1:23" ht="31.5" x14ac:dyDescent="0.2">
      <c r="A294" s="352">
        <f>IF(F294&lt;&gt;"",1+MAX($A$6:A293),"")</f>
        <v>220</v>
      </c>
      <c r="B294" s="367" t="s">
        <v>744</v>
      </c>
      <c r="C294" s="381"/>
      <c r="D294" s="368"/>
      <c r="E294" s="374" t="s">
        <v>753</v>
      </c>
      <c r="F294" s="128">
        <v>33</v>
      </c>
      <c r="G294" s="436">
        <v>0.1</v>
      </c>
      <c r="H294" s="140">
        <f t="shared" si="134"/>
        <v>36.300000000000004</v>
      </c>
      <c r="I294" s="141" t="s">
        <v>15</v>
      </c>
      <c r="J294" s="438">
        <f>J$282</f>
        <v>0</v>
      </c>
      <c r="K294" s="437">
        <f t="shared" si="136"/>
        <v>0</v>
      </c>
      <c r="L294" s="429"/>
      <c r="M294" s="343"/>
      <c r="N294" s="343"/>
      <c r="O294" s="343"/>
      <c r="P294" s="343"/>
      <c r="Q294" s="343"/>
      <c r="R294" s="343"/>
      <c r="S294" s="343"/>
      <c r="T294" s="343"/>
      <c r="U294" s="343"/>
      <c r="V294" s="343"/>
      <c r="W294" s="343"/>
    </row>
    <row r="295" spans="1:23" x14ac:dyDescent="0.2">
      <c r="A295" s="352" t="str">
        <f>IF(F295&lt;&gt;"",1+MAX($A$6:A294),"")</f>
        <v/>
      </c>
      <c r="B295" s="141"/>
      <c r="C295" s="364"/>
      <c r="D295" s="370"/>
      <c r="E295" s="371"/>
      <c r="F295" s="430"/>
      <c r="G295" s="431"/>
      <c r="H295" s="430"/>
      <c r="I295" s="432"/>
      <c r="J295" s="134"/>
      <c r="K295" s="433"/>
      <c r="L295" s="434"/>
      <c r="M295" s="343"/>
      <c r="N295" s="343"/>
      <c r="O295" s="343"/>
      <c r="P295" s="343"/>
      <c r="Q295" s="343"/>
      <c r="R295" s="343"/>
      <c r="S295" s="343"/>
      <c r="T295" s="343"/>
      <c r="U295" s="343"/>
      <c r="V295" s="343"/>
      <c r="W295" s="343"/>
    </row>
    <row r="296" spans="1:23" ht="31.5" x14ac:dyDescent="0.2">
      <c r="A296" s="352">
        <f>IF(F296&lt;&gt;"",1+MAX($A$6:A295),"")</f>
        <v>221</v>
      </c>
      <c r="B296" s="367" t="s">
        <v>744</v>
      </c>
      <c r="C296" s="381"/>
      <c r="D296" s="368"/>
      <c r="E296" s="374" t="s">
        <v>754</v>
      </c>
      <c r="F296" s="128">
        <f>10*8</f>
        <v>80</v>
      </c>
      <c r="G296" s="436">
        <v>0.1</v>
      </c>
      <c r="H296" s="140">
        <f t="shared" ref="H296" si="138">F296*(1+G296)</f>
        <v>88</v>
      </c>
      <c r="I296" s="141" t="s">
        <v>15</v>
      </c>
      <c r="J296" s="817">
        <v>0</v>
      </c>
      <c r="K296" s="437">
        <f>J296*H296</f>
        <v>0</v>
      </c>
      <c r="L296" s="429"/>
      <c r="M296" s="343"/>
      <c r="N296" s="343"/>
      <c r="O296" s="343"/>
      <c r="P296" s="343"/>
      <c r="Q296" s="343"/>
      <c r="R296" s="343"/>
      <c r="S296" s="343"/>
      <c r="T296" s="343"/>
      <c r="U296" s="343"/>
      <c r="V296" s="343"/>
      <c r="W296" s="343"/>
    </row>
    <row r="297" spans="1:23" ht="16.5" thickBot="1" x14ac:dyDescent="0.25">
      <c r="A297" s="352" t="str">
        <f>IF(F297&lt;&gt;"",1+MAX($A$6:A296),"")</f>
        <v/>
      </c>
      <c r="B297" s="141"/>
      <c r="C297" s="364"/>
      <c r="D297" s="370"/>
      <c r="E297" s="371"/>
      <c r="F297" s="430"/>
      <c r="G297" s="431"/>
      <c r="H297" s="430"/>
      <c r="I297" s="432"/>
      <c r="J297" s="134"/>
      <c r="K297" s="433"/>
      <c r="L297" s="434"/>
      <c r="M297" s="343"/>
      <c r="N297" s="343"/>
      <c r="O297" s="343"/>
      <c r="P297" s="343"/>
      <c r="Q297" s="343"/>
      <c r="R297" s="343"/>
      <c r="S297" s="343"/>
      <c r="T297" s="343"/>
      <c r="U297" s="343"/>
      <c r="V297" s="343"/>
      <c r="W297" s="343"/>
    </row>
    <row r="298" spans="1:23" ht="16.5" customHeight="1" thickBot="1" x14ac:dyDescent="0.25">
      <c r="A298" s="352" t="str">
        <f>IF(F298&lt;&gt;"",1+MAX($A$6:A297),"")</f>
        <v/>
      </c>
      <c r="B298" s="367"/>
      <c r="C298" s="364"/>
      <c r="D298" s="365"/>
      <c r="E298" s="366" t="s">
        <v>560</v>
      </c>
      <c r="F298" s="435"/>
      <c r="G298" s="431"/>
      <c r="H298" s="430"/>
      <c r="I298" s="432"/>
      <c r="J298" s="134"/>
      <c r="K298" s="428"/>
      <c r="L298" s="429"/>
      <c r="M298" s="345"/>
      <c r="N298" s="345"/>
      <c r="O298" s="345"/>
      <c r="P298" s="345"/>
      <c r="Q298" s="345"/>
      <c r="R298" s="343"/>
      <c r="S298" s="343"/>
      <c r="T298" s="343"/>
      <c r="U298" s="343"/>
      <c r="V298" s="343"/>
      <c r="W298" s="343"/>
    </row>
    <row r="299" spans="1:23" ht="31.5" customHeight="1" x14ac:dyDescent="0.2">
      <c r="A299" s="352">
        <f>IF(F299&lt;&gt;"",1+MAX($A$6:A298),"")</f>
        <v>222</v>
      </c>
      <c r="B299" s="367"/>
      <c r="C299" s="382"/>
      <c r="D299" s="372"/>
      <c r="E299" s="369" t="s">
        <v>755</v>
      </c>
      <c r="F299" s="128">
        <v>15114</v>
      </c>
      <c r="G299" s="436">
        <v>0.1</v>
      </c>
      <c r="H299" s="140">
        <f>F299*(1+G299)</f>
        <v>16625.400000000001</v>
      </c>
      <c r="I299" s="141" t="s">
        <v>18</v>
      </c>
      <c r="J299" s="817">
        <v>0</v>
      </c>
      <c r="K299" s="437">
        <f>J299*H299</f>
        <v>0</v>
      </c>
      <c r="L299" s="429"/>
      <c r="M299" s="343"/>
      <c r="N299" s="343"/>
      <c r="O299" s="343"/>
      <c r="P299" s="343"/>
      <c r="Q299" s="343"/>
      <c r="R299" s="343"/>
      <c r="S299" s="343"/>
      <c r="T299" s="343"/>
      <c r="U299" s="343"/>
      <c r="V299" s="343"/>
      <c r="W299" s="343"/>
    </row>
    <row r="300" spans="1:23" ht="16.5" thickBot="1" x14ac:dyDescent="0.25">
      <c r="A300" s="352" t="str">
        <f>IF(F300&lt;&gt;"",1+MAX($A$6:A299),"")</f>
        <v/>
      </c>
      <c r="B300" s="141"/>
      <c r="C300" s="364"/>
      <c r="D300" s="370"/>
      <c r="E300" s="371"/>
      <c r="F300" s="430"/>
      <c r="G300" s="431"/>
      <c r="H300" s="430"/>
      <c r="I300" s="432"/>
      <c r="J300" s="134"/>
      <c r="K300" s="433"/>
      <c r="L300" s="434"/>
      <c r="M300" s="343"/>
      <c r="N300" s="343"/>
      <c r="O300" s="343"/>
      <c r="P300" s="343"/>
      <c r="Q300" s="343"/>
      <c r="R300" s="343"/>
      <c r="S300" s="343"/>
      <c r="T300" s="343"/>
      <c r="U300" s="343"/>
      <c r="V300" s="343"/>
      <c r="W300" s="343"/>
    </row>
    <row r="301" spans="1:23" ht="16.5" customHeight="1" thickBot="1" x14ac:dyDescent="0.25">
      <c r="A301" s="352" t="str">
        <f>IF(F301&lt;&gt;"",1+MAX($A$6:A300),"")</f>
        <v/>
      </c>
      <c r="B301" s="123"/>
      <c r="C301" s="364"/>
      <c r="D301" s="365"/>
      <c r="E301" s="366" t="s">
        <v>756</v>
      </c>
      <c r="F301" s="435"/>
      <c r="G301" s="431"/>
      <c r="H301" s="430"/>
      <c r="I301" s="432"/>
      <c r="J301" s="134"/>
      <c r="K301" s="428"/>
      <c r="L301" s="429"/>
      <c r="M301" s="345"/>
      <c r="N301" s="345"/>
      <c r="O301" s="345"/>
      <c r="P301" s="345"/>
      <c r="Q301" s="345"/>
      <c r="R301" s="343"/>
      <c r="S301" s="343"/>
      <c r="T301" s="343"/>
      <c r="U301" s="343"/>
      <c r="V301" s="343"/>
      <c r="W301" s="343"/>
    </row>
    <row r="302" spans="1:23" ht="63" x14ac:dyDescent="0.2">
      <c r="A302" s="352">
        <f>IF(F302&lt;&gt;"",1+MAX($A$6:A301),"")</f>
        <v>223</v>
      </c>
      <c r="B302" s="367" t="s">
        <v>726</v>
      </c>
      <c r="C302" s="364"/>
      <c r="D302" s="368"/>
      <c r="E302" s="369" t="s">
        <v>757</v>
      </c>
      <c r="F302" s="128">
        <v>1</v>
      </c>
      <c r="G302" s="436">
        <v>0</v>
      </c>
      <c r="H302" s="140">
        <f t="shared" ref="H302" si="139">F302*(1+G302)</f>
        <v>1</v>
      </c>
      <c r="I302" s="141" t="s">
        <v>20</v>
      </c>
      <c r="J302" s="817">
        <v>0</v>
      </c>
      <c r="K302" s="437">
        <f t="shared" ref="K302:K356" si="140">J302*H302</f>
        <v>0</v>
      </c>
      <c r="L302" s="429"/>
      <c r="M302" s="343"/>
      <c r="N302" s="343"/>
      <c r="O302" s="343"/>
      <c r="P302" s="343"/>
      <c r="Q302" s="343"/>
      <c r="R302" s="343"/>
      <c r="S302" s="343"/>
      <c r="T302" s="343"/>
      <c r="U302" s="343"/>
      <c r="V302" s="343"/>
      <c r="W302" s="343"/>
    </row>
    <row r="303" spans="1:23" ht="63" x14ac:dyDescent="0.2">
      <c r="A303" s="352">
        <f>IF(F303&lt;&gt;"",1+MAX($A$6:A302),"")</f>
        <v>224</v>
      </c>
      <c r="B303" s="367" t="s">
        <v>726</v>
      </c>
      <c r="C303" s="361"/>
      <c r="D303" s="361"/>
      <c r="E303" s="369" t="s">
        <v>1847</v>
      </c>
      <c r="F303" s="128">
        <v>1</v>
      </c>
      <c r="G303" s="436">
        <v>0</v>
      </c>
      <c r="H303" s="140">
        <f>F303*(1+G303)</f>
        <v>1</v>
      </c>
      <c r="I303" s="141" t="s">
        <v>20</v>
      </c>
      <c r="J303" s="817">
        <v>0</v>
      </c>
      <c r="K303" s="437">
        <f t="shared" si="140"/>
        <v>0</v>
      </c>
      <c r="L303" s="429"/>
      <c r="M303" s="343"/>
      <c r="N303" s="343"/>
      <c r="O303" s="343"/>
      <c r="P303" s="343"/>
      <c r="Q303" s="343"/>
      <c r="R303" s="343"/>
      <c r="S303" s="343"/>
      <c r="T303" s="343"/>
      <c r="U303" s="343"/>
      <c r="V303" s="343"/>
      <c r="W303" s="343"/>
    </row>
    <row r="304" spans="1:23" ht="63" x14ac:dyDescent="0.2">
      <c r="A304" s="352">
        <f>IF(F304&lt;&gt;"",1+MAX($A$6:A303),"")</f>
        <v>225</v>
      </c>
      <c r="B304" s="367" t="s">
        <v>726</v>
      </c>
      <c r="C304" s="361"/>
      <c r="D304" s="361"/>
      <c r="E304" s="369" t="s">
        <v>758</v>
      </c>
      <c r="F304" s="128">
        <v>1</v>
      </c>
      <c r="G304" s="436">
        <v>0</v>
      </c>
      <c r="H304" s="140">
        <f>F304*(1+G304)</f>
        <v>1</v>
      </c>
      <c r="I304" s="141" t="s">
        <v>20</v>
      </c>
      <c r="J304" s="817">
        <v>0</v>
      </c>
      <c r="K304" s="437">
        <f t="shared" si="140"/>
        <v>0</v>
      </c>
      <c r="L304" s="429"/>
      <c r="M304" s="343"/>
      <c r="N304" s="343"/>
      <c r="O304" s="343"/>
      <c r="P304" s="343"/>
      <c r="Q304" s="343"/>
      <c r="R304" s="343"/>
      <c r="S304" s="343"/>
      <c r="T304" s="343"/>
      <c r="U304" s="343"/>
      <c r="V304" s="343"/>
      <c r="W304" s="343"/>
    </row>
    <row r="305" spans="1:23" ht="63" x14ac:dyDescent="0.2">
      <c r="A305" s="352">
        <f>IF(F305&lt;&gt;"",1+MAX($A$6:A304),"")</f>
        <v>226</v>
      </c>
      <c r="B305" s="367" t="s">
        <v>726</v>
      </c>
      <c r="C305" s="364"/>
      <c r="D305" s="368"/>
      <c r="E305" s="369" t="s">
        <v>759</v>
      </c>
      <c r="F305" s="128">
        <v>1</v>
      </c>
      <c r="G305" s="436">
        <v>0</v>
      </c>
      <c r="H305" s="140">
        <f t="shared" ref="H305:H312" si="141">F305*(1+G305)</f>
        <v>1</v>
      </c>
      <c r="I305" s="141" t="s">
        <v>20</v>
      </c>
      <c r="J305" s="817">
        <v>0</v>
      </c>
      <c r="K305" s="437">
        <f t="shared" si="140"/>
        <v>0</v>
      </c>
      <c r="L305" s="429"/>
      <c r="M305" s="343"/>
      <c r="N305" s="343"/>
      <c r="O305" s="343"/>
      <c r="P305" s="343"/>
      <c r="Q305" s="343"/>
      <c r="R305" s="343"/>
      <c r="S305" s="343"/>
      <c r="T305" s="343"/>
      <c r="U305" s="343"/>
      <c r="V305" s="343"/>
      <c r="W305" s="343"/>
    </row>
    <row r="306" spans="1:23" ht="63" x14ac:dyDescent="0.2">
      <c r="A306" s="352">
        <f>IF(F306&lt;&gt;"",1+MAX($A$6:A305),"")</f>
        <v>227</v>
      </c>
      <c r="B306" s="367" t="s">
        <v>726</v>
      </c>
      <c r="C306" s="364"/>
      <c r="D306" s="368"/>
      <c r="E306" s="369" t="s">
        <v>760</v>
      </c>
      <c r="F306" s="128">
        <v>8</v>
      </c>
      <c r="G306" s="436">
        <v>0</v>
      </c>
      <c r="H306" s="140">
        <f t="shared" si="141"/>
        <v>8</v>
      </c>
      <c r="I306" s="141" t="s">
        <v>20</v>
      </c>
      <c r="J306" s="817">
        <v>0</v>
      </c>
      <c r="K306" s="437">
        <f t="shared" si="140"/>
        <v>0</v>
      </c>
      <c r="L306" s="429"/>
      <c r="M306" s="343"/>
      <c r="N306" s="343"/>
      <c r="O306" s="343"/>
      <c r="P306" s="343"/>
      <c r="Q306" s="343"/>
      <c r="R306" s="343"/>
      <c r="S306" s="343"/>
      <c r="T306" s="343"/>
      <c r="U306" s="343"/>
      <c r="V306" s="343"/>
      <c r="W306" s="343"/>
    </row>
    <row r="307" spans="1:23" ht="63" x14ac:dyDescent="0.2">
      <c r="A307" s="352">
        <f>IF(F307&lt;&gt;"",1+MAX($A$6:A306),"")</f>
        <v>228</v>
      </c>
      <c r="B307" s="367" t="s">
        <v>726</v>
      </c>
      <c r="C307" s="364"/>
      <c r="D307" s="368"/>
      <c r="E307" s="369" t="s">
        <v>761</v>
      </c>
      <c r="F307" s="128">
        <v>1</v>
      </c>
      <c r="G307" s="436">
        <v>0</v>
      </c>
      <c r="H307" s="140">
        <f t="shared" si="141"/>
        <v>1</v>
      </c>
      <c r="I307" s="141" t="s">
        <v>20</v>
      </c>
      <c r="J307" s="817">
        <v>0</v>
      </c>
      <c r="K307" s="437">
        <f t="shared" si="140"/>
        <v>0</v>
      </c>
      <c r="L307" s="429"/>
      <c r="M307" s="343"/>
      <c r="N307" s="343"/>
      <c r="O307" s="343"/>
      <c r="P307" s="343"/>
      <c r="Q307" s="343"/>
      <c r="R307" s="343"/>
      <c r="S307" s="343"/>
      <c r="T307" s="343"/>
      <c r="U307" s="343"/>
      <c r="V307" s="343"/>
      <c r="W307" s="343"/>
    </row>
    <row r="308" spans="1:23" ht="63" x14ac:dyDescent="0.2">
      <c r="A308" s="352">
        <f>IF(F308&lt;&gt;"",1+MAX($A$6:A307),"")</f>
        <v>229</v>
      </c>
      <c r="B308" s="367" t="s">
        <v>726</v>
      </c>
      <c r="C308" s="364"/>
      <c r="D308" s="368"/>
      <c r="E308" s="369" t="s">
        <v>762</v>
      </c>
      <c r="F308" s="128">
        <v>1</v>
      </c>
      <c r="G308" s="436">
        <v>0</v>
      </c>
      <c r="H308" s="140">
        <f t="shared" si="141"/>
        <v>1</v>
      </c>
      <c r="I308" s="141" t="s">
        <v>20</v>
      </c>
      <c r="J308" s="817">
        <v>0</v>
      </c>
      <c r="K308" s="437">
        <f t="shared" si="140"/>
        <v>0</v>
      </c>
      <c r="L308" s="429"/>
      <c r="M308" s="343"/>
      <c r="N308" s="343"/>
      <c r="O308" s="343"/>
      <c r="P308" s="343"/>
      <c r="Q308" s="343"/>
      <c r="R308" s="343"/>
      <c r="S308" s="343"/>
      <c r="T308" s="343"/>
      <c r="U308" s="343"/>
      <c r="V308" s="343"/>
      <c r="W308" s="343"/>
    </row>
    <row r="309" spans="1:23" ht="63" x14ac:dyDescent="0.2">
      <c r="A309" s="352">
        <f>IF(F309&lt;&gt;"",1+MAX($A$6:A308),"")</f>
        <v>230</v>
      </c>
      <c r="B309" s="367" t="s">
        <v>726</v>
      </c>
      <c r="C309" s="364"/>
      <c r="D309" s="368"/>
      <c r="E309" s="369" t="s">
        <v>763</v>
      </c>
      <c r="F309" s="128">
        <v>1</v>
      </c>
      <c r="G309" s="436">
        <v>0</v>
      </c>
      <c r="H309" s="140">
        <f t="shared" si="141"/>
        <v>1</v>
      </c>
      <c r="I309" s="141" t="s">
        <v>20</v>
      </c>
      <c r="J309" s="817">
        <v>0</v>
      </c>
      <c r="K309" s="437">
        <f t="shared" si="140"/>
        <v>0</v>
      </c>
      <c r="L309" s="429"/>
      <c r="M309" s="343"/>
      <c r="N309" s="343"/>
      <c r="O309" s="343"/>
      <c r="P309" s="343"/>
      <c r="Q309" s="343"/>
      <c r="R309" s="343"/>
      <c r="S309" s="343"/>
      <c r="T309" s="343"/>
      <c r="U309" s="343"/>
      <c r="V309" s="343"/>
      <c r="W309" s="343"/>
    </row>
    <row r="310" spans="1:23" ht="63" x14ac:dyDescent="0.2">
      <c r="A310" s="352">
        <f>IF(F310&lt;&gt;"",1+MAX($A$6:A309),"")</f>
        <v>231</v>
      </c>
      <c r="B310" s="367" t="s">
        <v>726</v>
      </c>
      <c r="C310" s="364"/>
      <c r="D310" s="368"/>
      <c r="E310" s="369" t="s">
        <v>764</v>
      </c>
      <c r="F310" s="128">
        <v>76</v>
      </c>
      <c r="G310" s="436">
        <v>0</v>
      </c>
      <c r="H310" s="140">
        <f t="shared" si="141"/>
        <v>76</v>
      </c>
      <c r="I310" s="141" t="s">
        <v>20</v>
      </c>
      <c r="J310" s="817">
        <v>0</v>
      </c>
      <c r="K310" s="437">
        <f t="shared" si="140"/>
        <v>0</v>
      </c>
      <c r="L310" s="429"/>
      <c r="M310" s="343"/>
      <c r="N310" s="343"/>
      <c r="O310" s="343"/>
      <c r="P310" s="343"/>
      <c r="Q310" s="343"/>
      <c r="R310" s="343"/>
      <c r="S310" s="343"/>
      <c r="T310" s="343"/>
      <c r="U310" s="343"/>
      <c r="V310" s="343"/>
      <c r="W310" s="343"/>
    </row>
    <row r="311" spans="1:23" ht="63" x14ac:dyDescent="0.2">
      <c r="A311" s="352">
        <f>IF(F311&lt;&gt;"",1+MAX($A$6:A310),"")</f>
        <v>232</v>
      </c>
      <c r="B311" s="367" t="s">
        <v>726</v>
      </c>
      <c r="C311" s="361"/>
      <c r="D311" s="361"/>
      <c r="E311" s="369" t="s">
        <v>765</v>
      </c>
      <c r="F311" s="128">
        <v>63</v>
      </c>
      <c r="G311" s="436">
        <v>0</v>
      </c>
      <c r="H311" s="140">
        <f t="shared" si="141"/>
        <v>63</v>
      </c>
      <c r="I311" s="141" t="s">
        <v>20</v>
      </c>
      <c r="J311" s="817">
        <v>0</v>
      </c>
      <c r="K311" s="437">
        <f t="shared" si="140"/>
        <v>0</v>
      </c>
      <c r="L311" s="429"/>
      <c r="M311" s="343"/>
      <c r="N311" s="343"/>
      <c r="O311" s="343"/>
      <c r="P311" s="343"/>
      <c r="Q311" s="343"/>
      <c r="R311" s="343"/>
      <c r="S311" s="343"/>
      <c r="T311" s="343"/>
      <c r="U311" s="343"/>
      <c r="V311" s="343"/>
      <c r="W311" s="343"/>
    </row>
    <row r="312" spans="1:23" ht="63" x14ac:dyDescent="0.2">
      <c r="A312" s="352">
        <f>IF(F312&lt;&gt;"",1+MAX($A$6:A311),"")</f>
        <v>233</v>
      </c>
      <c r="B312" s="367" t="s">
        <v>726</v>
      </c>
      <c r="C312" s="364"/>
      <c r="D312" s="368"/>
      <c r="E312" s="369" t="s">
        <v>766</v>
      </c>
      <c r="F312" s="128">
        <v>18</v>
      </c>
      <c r="G312" s="436">
        <v>0</v>
      </c>
      <c r="H312" s="140">
        <f t="shared" si="141"/>
        <v>18</v>
      </c>
      <c r="I312" s="141" t="s">
        <v>20</v>
      </c>
      <c r="J312" s="817">
        <v>0</v>
      </c>
      <c r="K312" s="437">
        <f t="shared" si="140"/>
        <v>0</v>
      </c>
      <c r="L312" s="429"/>
      <c r="M312" s="343"/>
      <c r="N312" s="343"/>
      <c r="O312" s="343"/>
      <c r="P312" s="343"/>
      <c r="Q312" s="343"/>
      <c r="R312" s="343"/>
      <c r="S312" s="343"/>
      <c r="T312" s="343"/>
      <c r="U312" s="343"/>
      <c r="V312" s="343"/>
      <c r="W312" s="343"/>
    </row>
    <row r="313" spans="1:23" ht="63" x14ac:dyDescent="0.2">
      <c r="A313" s="352">
        <f>IF(F313&lt;&gt;"",1+MAX($A$6:A312),"")</f>
        <v>234</v>
      </c>
      <c r="B313" s="367" t="s">
        <v>726</v>
      </c>
      <c r="C313" s="361"/>
      <c r="D313" s="361"/>
      <c r="E313" s="369" t="s">
        <v>767</v>
      </c>
      <c r="F313" s="128">
        <v>89</v>
      </c>
      <c r="G313" s="436">
        <v>0</v>
      </c>
      <c r="H313" s="140">
        <f>F313*(1+G313)</f>
        <v>89</v>
      </c>
      <c r="I313" s="141" t="s">
        <v>20</v>
      </c>
      <c r="J313" s="817">
        <v>0</v>
      </c>
      <c r="K313" s="437">
        <f t="shared" si="140"/>
        <v>0</v>
      </c>
      <c r="L313" s="429"/>
      <c r="M313" s="343"/>
      <c r="N313" s="343"/>
      <c r="O313" s="343"/>
      <c r="P313" s="343"/>
      <c r="Q313" s="343"/>
      <c r="R313" s="343"/>
      <c r="S313" s="343"/>
      <c r="T313" s="343"/>
      <c r="U313" s="343"/>
      <c r="V313" s="343"/>
      <c r="W313" s="343"/>
    </row>
    <row r="314" spans="1:23" ht="63" x14ac:dyDescent="0.2">
      <c r="A314" s="352">
        <f>IF(F314&lt;&gt;"",1+MAX($A$6:A313),"")</f>
        <v>235</v>
      </c>
      <c r="B314" s="367" t="s">
        <v>726</v>
      </c>
      <c r="C314" s="361"/>
      <c r="D314" s="361"/>
      <c r="E314" s="369" t="s">
        <v>768</v>
      </c>
      <c r="F314" s="128">
        <v>7</v>
      </c>
      <c r="G314" s="436">
        <v>0</v>
      </c>
      <c r="H314" s="140">
        <f>F314*(1+G314)</f>
        <v>7</v>
      </c>
      <c r="I314" s="141" t="s">
        <v>20</v>
      </c>
      <c r="J314" s="817">
        <v>0</v>
      </c>
      <c r="K314" s="437">
        <f t="shared" si="140"/>
        <v>0</v>
      </c>
      <c r="L314" s="429"/>
      <c r="M314" s="343"/>
      <c r="N314" s="343"/>
      <c r="O314" s="343"/>
      <c r="P314" s="343"/>
      <c r="Q314" s="343"/>
      <c r="R314" s="343"/>
      <c r="S314" s="343"/>
      <c r="T314" s="343"/>
      <c r="U314" s="343"/>
      <c r="V314" s="343"/>
      <c r="W314" s="343"/>
    </row>
    <row r="315" spans="1:23" ht="63" x14ac:dyDescent="0.2">
      <c r="A315" s="352">
        <f>IF(F315&lt;&gt;"",1+MAX($A$6:A314),"")</f>
        <v>236</v>
      </c>
      <c r="B315" s="367" t="s">
        <v>726</v>
      </c>
      <c r="C315" s="364"/>
      <c r="D315" s="368"/>
      <c r="E315" s="369" t="s">
        <v>769</v>
      </c>
      <c r="F315" s="128">
        <v>1</v>
      </c>
      <c r="G315" s="436">
        <v>0</v>
      </c>
      <c r="H315" s="140">
        <f t="shared" ref="H315:H325" si="142">F315*(1+G315)</f>
        <v>1</v>
      </c>
      <c r="I315" s="141" t="s">
        <v>20</v>
      </c>
      <c r="J315" s="817">
        <v>0</v>
      </c>
      <c r="K315" s="437">
        <f t="shared" si="140"/>
        <v>0</v>
      </c>
      <c r="L315" s="429"/>
      <c r="M315" s="343"/>
      <c r="N315" s="343"/>
      <c r="O315" s="343"/>
      <c r="P315" s="343"/>
      <c r="Q315" s="343"/>
      <c r="R315" s="343"/>
      <c r="S315" s="343"/>
      <c r="T315" s="343"/>
      <c r="U315" s="343"/>
      <c r="V315" s="343"/>
      <c r="W315" s="343"/>
    </row>
    <row r="316" spans="1:23" ht="63" x14ac:dyDescent="0.2">
      <c r="A316" s="352">
        <f>IF(F316&lt;&gt;"",1+MAX($A$6:A315),"")</f>
        <v>237</v>
      </c>
      <c r="B316" s="367" t="s">
        <v>726</v>
      </c>
      <c r="C316" s="364"/>
      <c r="D316" s="368"/>
      <c r="E316" s="369" t="s">
        <v>770</v>
      </c>
      <c r="F316" s="128">
        <v>19</v>
      </c>
      <c r="G316" s="436">
        <v>0</v>
      </c>
      <c r="H316" s="140">
        <f t="shared" si="142"/>
        <v>19</v>
      </c>
      <c r="I316" s="141" t="s">
        <v>20</v>
      </c>
      <c r="J316" s="817">
        <v>0</v>
      </c>
      <c r="K316" s="437">
        <f t="shared" si="140"/>
        <v>0</v>
      </c>
      <c r="L316" s="429"/>
      <c r="M316" s="343"/>
      <c r="N316" s="343"/>
      <c r="O316" s="343"/>
      <c r="P316" s="343"/>
      <c r="Q316" s="343"/>
      <c r="R316" s="343"/>
      <c r="S316" s="343"/>
      <c r="T316" s="343"/>
      <c r="U316" s="343"/>
      <c r="V316" s="343"/>
      <c r="W316" s="343"/>
    </row>
    <row r="317" spans="1:23" ht="63" x14ac:dyDescent="0.2">
      <c r="A317" s="352">
        <f>IF(F317&lt;&gt;"",1+MAX($A$6:A316),"")</f>
        <v>238</v>
      </c>
      <c r="B317" s="367" t="s">
        <v>726</v>
      </c>
      <c r="C317" s="361"/>
      <c r="D317" s="361"/>
      <c r="E317" s="369" t="s">
        <v>771</v>
      </c>
      <c r="F317" s="128">
        <v>69</v>
      </c>
      <c r="G317" s="436">
        <v>0</v>
      </c>
      <c r="H317" s="140">
        <f>F317*(1+G317)</f>
        <v>69</v>
      </c>
      <c r="I317" s="141" t="s">
        <v>20</v>
      </c>
      <c r="J317" s="817">
        <v>0</v>
      </c>
      <c r="K317" s="437">
        <f t="shared" si="140"/>
        <v>0</v>
      </c>
      <c r="L317" s="429"/>
      <c r="M317" s="343"/>
      <c r="N317" s="343"/>
      <c r="O317" s="343"/>
      <c r="P317" s="343"/>
      <c r="Q317" s="343"/>
      <c r="R317" s="343"/>
      <c r="S317" s="343"/>
      <c r="T317" s="343"/>
      <c r="U317" s="343"/>
      <c r="V317" s="343"/>
      <c r="W317" s="343"/>
    </row>
    <row r="318" spans="1:23" ht="63" x14ac:dyDescent="0.2">
      <c r="A318" s="352">
        <f>IF(F318&lt;&gt;"",1+MAX($A$6:A317),"")</f>
        <v>239</v>
      </c>
      <c r="B318" s="367" t="s">
        <v>726</v>
      </c>
      <c r="C318" s="364"/>
      <c r="D318" s="368"/>
      <c r="E318" s="369" t="s">
        <v>772</v>
      </c>
      <c r="F318" s="128">
        <v>226</v>
      </c>
      <c r="G318" s="436">
        <v>0</v>
      </c>
      <c r="H318" s="140">
        <f t="shared" ref="H318" si="143">F318*(1+G318)</f>
        <v>226</v>
      </c>
      <c r="I318" s="141" t="s">
        <v>20</v>
      </c>
      <c r="J318" s="817">
        <v>0</v>
      </c>
      <c r="K318" s="437">
        <f t="shared" si="140"/>
        <v>0</v>
      </c>
      <c r="L318" s="429"/>
      <c r="M318" s="343"/>
      <c r="N318" s="343"/>
      <c r="O318" s="343"/>
      <c r="P318" s="343"/>
      <c r="Q318" s="343"/>
      <c r="R318" s="343"/>
      <c r="S318" s="343"/>
      <c r="T318" s="343"/>
      <c r="U318" s="343"/>
      <c r="V318" s="343"/>
      <c r="W318" s="343"/>
    </row>
    <row r="319" spans="1:23" ht="63" x14ac:dyDescent="0.2">
      <c r="A319" s="352">
        <f>IF(F319&lt;&gt;"",1+MAX($A$6:A318),"")</f>
        <v>240</v>
      </c>
      <c r="B319" s="367" t="s">
        <v>726</v>
      </c>
      <c r="C319" s="364"/>
      <c r="D319" s="368"/>
      <c r="E319" s="369" t="s">
        <v>773</v>
      </c>
      <c r="F319" s="128">
        <v>1</v>
      </c>
      <c r="G319" s="436">
        <v>0</v>
      </c>
      <c r="H319" s="140">
        <f>F319*(1+G319)</f>
        <v>1</v>
      </c>
      <c r="I319" s="141" t="s">
        <v>20</v>
      </c>
      <c r="J319" s="817">
        <v>0</v>
      </c>
      <c r="K319" s="437">
        <f t="shared" si="140"/>
        <v>0</v>
      </c>
      <c r="L319" s="429"/>
      <c r="M319" s="343"/>
      <c r="N319" s="343"/>
      <c r="O319" s="343"/>
      <c r="P319" s="343"/>
      <c r="Q319" s="343"/>
      <c r="R319" s="343"/>
      <c r="S319" s="343"/>
      <c r="T319" s="343"/>
      <c r="U319" s="343"/>
      <c r="V319" s="343"/>
      <c r="W319" s="343"/>
    </row>
    <row r="320" spans="1:23" ht="63" x14ac:dyDescent="0.2">
      <c r="A320" s="352">
        <f>IF(F320&lt;&gt;"",1+MAX($A$6:A319),"")</f>
        <v>241</v>
      </c>
      <c r="B320" s="367" t="s">
        <v>726</v>
      </c>
      <c r="C320" s="364"/>
      <c r="D320" s="368"/>
      <c r="E320" s="369" t="s">
        <v>774</v>
      </c>
      <c r="F320" s="128">
        <v>63</v>
      </c>
      <c r="G320" s="436">
        <v>0</v>
      </c>
      <c r="H320" s="140">
        <f t="shared" si="142"/>
        <v>63</v>
      </c>
      <c r="I320" s="141" t="s">
        <v>20</v>
      </c>
      <c r="J320" s="817">
        <v>0</v>
      </c>
      <c r="K320" s="437">
        <f t="shared" si="140"/>
        <v>0</v>
      </c>
      <c r="L320" s="429"/>
      <c r="M320" s="343"/>
      <c r="N320" s="343"/>
      <c r="O320" s="343"/>
      <c r="P320" s="343"/>
      <c r="Q320" s="343"/>
      <c r="R320" s="343"/>
      <c r="S320" s="343"/>
      <c r="T320" s="343"/>
      <c r="U320" s="343"/>
      <c r="V320" s="343"/>
      <c r="W320" s="343"/>
    </row>
    <row r="321" spans="1:23" ht="63" x14ac:dyDescent="0.2">
      <c r="A321" s="352">
        <f>IF(F321&lt;&gt;"",1+MAX($A$6:A320),"")</f>
        <v>242</v>
      </c>
      <c r="B321" s="367" t="s">
        <v>726</v>
      </c>
      <c r="C321" s="364"/>
      <c r="D321" s="368"/>
      <c r="E321" s="369" t="s">
        <v>775</v>
      </c>
      <c r="F321" s="128">
        <v>1</v>
      </c>
      <c r="G321" s="436">
        <v>0</v>
      </c>
      <c r="H321" s="140">
        <f t="shared" si="142"/>
        <v>1</v>
      </c>
      <c r="I321" s="141" t="s">
        <v>20</v>
      </c>
      <c r="J321" s="817">
        <v>0</v>
      </c>
      <c r="K321" s="437">
        <f t="shared" si="140"/>
        <v>0</v>
      </c>
      <c r="L321" s="429"/>
      <c r="M321" s="343"/>
      <c r="N321" s="343"/>
      <c r="O321" s="343"/>
      <c r="P321" s="343"/>
      <c r="Q321" s="343"/>
      <c r="R321" s="343"/>
      <c r="S321" s="343"/>
      <c r="T321" s="343"/>
      <c r="U321" s="343"/>
      <c r="V321" s="343"/>
      <c r="W321" s="343"/>
    </row>
    <row r="322" spans="1:23" ht="63" x14ac:dyDescent="0.2">
      <c r="A322" s="352">
        <f>IF(F322&lt;&gt;"",1+MAX($A$6:A321),"")</f>
        <v>243</v>
      </c>
      <c r="B322" s="367" t="s">
        <v>726</v>
      </c>
      <c r="C322" s="364"/>
      <c r="D322" s="368"/>
      <c r="E322" s="369" t="s">
        <v>776</v>
      </c>
      <c r="F322" s="128">
        <v>1</v>
      </c>
      <c r="G322" s="436">
        <v>0</v>
      </c>
      <c r="H322" s="140">
        <f t="shared" si="142"/>
        <v>1</v>
      </c>
      <c r="I322" s="141" t="s">
        <v>20</v>
      </c>
      <c r="J322" s="817">
        <v>0</v>
      </c>
      <c r="K322" s="437">
        <f t="shared" si="140"/>
        <v>0</v>
      </c>
      <c r="L322" s="429"/>
      <c r="M322" s="343"/>
      <c r="N322" s="343"/>
      <c r="O322" s="343"/>
      <c r="P322" s="343"/>
      <c r="Q322" s="343"/>
      <c r="R322" s="343"/>
      <c r="S322" s="343"/>
      <c r="T322" s="343"/>
      <c r="U322" s="343"/>
      <c r="V322" s="343"/>
      <c r="W322" s="343"/>
    </row>
    <row r="323" spans="1:23" ht="63" x14ac:dyDescent="0.2">
      <c r="A323" s="352">
        <f>IF(F323&lt;&gt;"",1+MAX($A$6:A322),"")</f>
        <v>244</v>
      </c>
      <c r="B323" s="367" t="s">
        <v>726</v>
      </c>
      <c r="C323" s="364"/>
      <c r="D323" s="368"/>
      <c r="E323" s="369" t="s">
        <v>777</v>
      </c>
      <c r="F323" s="128">
        <v>2</v>
      </c>
      <c r="G323" s="436">
        <v>0</v>
      </c>
      <c r="H323" s="140">
        <f t="shared" si="142"/>
        <v>2</v>
      </c>
      <c r="I323" s="141" t="s">
        <v>20</v>
      </c>
      <c r="J323" s="817">
        <v>0</v>
      </c>
      <c r="K323" s="437">
        <f t="shared" si="140"/>
        <v>0</v>
      </c>
      <c r="L323" s="429"/>
      <c r="M323" s="343"/>
      <c r="N323" s="343"/>
      <c r="O323" s="343"/>
      <c r="P323" s="343"/>
      <c r="Q323" s="343"/>
      <c r="R323" s="343"/>
      <c r="S323" s="343"/>
      <c r="T323" s="343"/>
      <c r="U323" s="343"/>
      <c r="V323" s="343"/>
      <c r="W323" s="343"/>
    </row>
    <row r="324" spans="1:23" ht="63" x14ac:dyDescent="0.2">
      <c r="A324" s="352">
        <f>IF(F324&lt;&gt;"",1+MAX($A$6:A323),"")</f>
        <v>245</v>
      </c>
      <c r="B324" s="367" t="s">
        <v>726</v>
      </c>
      <c r="C324" s="361"/>
      <c r="D324" s="361"/>
      <c r="E324" s="369" t="s">
        <v>778</v>
      </c>
      <c r="F324" s="128">
        <v>2</v>
      </c>
      <c r="G324" s="436">
        <v>0</v>
      </c>
      <c r="H324" s="140">
        <f t="shared" si="142"/>
        <v>2</v>
      </c>
      <c r="I324" s="141" t="s">
        <v>20</v>
      </c>
      <c r="J324" s="817">
        <v>0</v>
      </c>
      <c r="K324" s="437">
        <f t="shared" si="140"/>
        <v>0</v>
      </c>
      <c r="L324" s="429"/>
      <c r="M324" s="343"/>
      <c r="N324" s="343"/>
      <c r="O324" s="343"/>
      <c r="P324" s="343"/>
      <c r="Q324" s="343"/>
      <c r="R324" s="343"/>
      <c r="S324" s="343"/>
      <c r="T324" s="343"/>
      <c r="U324" s="343"/>
      <c r="V324" s="343"/>
      <c r="W324" s="343"/>
    </row>
    <row r="325" spans="1:23" ht="63" x14ac:dyDescent="0.2">
      <c r="A325" s="352">
        <f>IF(F325&lt;&gt;"",1+MAX($A$6:A324),"")</f>
        <v>246</v>
      </c>
      <c r="B325" s="367" t="s">
        <v>726</v>
      </c>
      <c r="C325" s="364"/>
      <c r="D325" s="368"/>
      <c r="E325" s="369" t="s">
        <v>779</v>
      </c>
      <c r="F325" s="128">
        <v>7</v>
      </c>
      <c r="G325" s="436">
        <v>0</v>
      </c>
      <c r="H325" s="140">
        <f t="shared" si="142"/>
        <v>7</v>
      </c>
      <c r="I325" s="141" t="s">
        <v>20</v>
      </c>
      <c r="J325" s="817">
        <v>0</v>
      </c>
      <c r="K325" s="437">
        <f t="shared" si="140"/>
        <v>0</v>
      </c>
      <c r="L325" s="429"/>
      <c r="M325" s="343"/>
      <c r="N325" s="343"/>
      <c r="O325" s="343"/>
      <c r="P325" s="343"/>
      <c r="Q325" s="343"/>
      <c r="R325" s="343"/>
      <c r="S325" s="343"/>
      <c r="T325" s="343"/>
      <c r="U325" s="343"/>
      <c r="V325" s="343"/>
      <c r="W325" s="343"/>
    </row>
    <row r="326" spans="1:23" ht="63" x14ac:dyDescent="0.2">
      <c r="A326" s="352">
        <f>IF(F326&lt;&gt;"",1+MAX($A$6:A325),"")</f>
        <v>247</v>
      </c>
      <c r="B326" s="367" t="s">
        <v>726</v>
      </c>
      <c r="C326" s="361"/>
      <c r="D326" s="361"/>
      <c r="E326" s="369" t="s">
        <v>780</v>
      </c>
      <c r="F326" s="128">
        <v>6</v>
      </c>
      <c r="G326" s="436">
        <v>0</v>
      </c>
      <c r="H326" s="140">
        <f>F326*(1+G326)</f>
        <v>6</v>
      </c>
      <c r="I326" s="141" t="s">
        <v>20</v>
      </c>
      <c r="J326" s="817">
        <v>0</v>
      </c>
      <c r="K326" s="437">
        <f t="shared" si="140"/>
        <v>0</v>
      </c>
      <c r="L326" s="429"/>
      <c r="M326" s="343"/>
      <c r="N326" s="343"/>
      <c r="O326" s="343"/>
      <c r="P326" s="343"/>
      <c r="Q326" s="343"/>
      <c r="R326" s="343"/>
      <c r="S326" s="343"/>
      <c r="T326" s="343"/>
      <c r="U326" s="343"/>
      <c r="V326" s="343"/>
      <c r="W326" s="343"/>
    </row>
    <row r="327" spans="1:23" ht="63" x14ac:dyDescent="0.2">
      <c r="A327" s="352">
        <f>IF(F327&lt;&gt;"",1+MAX($A$6:A326),"")</f>
        <v>248</v>
      </c>
      <c r="B327" s="367" t="s">
        <v>726</v>
      </c>
      <c r="C327" s="361"/>
      <c r="D327" s="361"/>
      <c r="E327" s="369" t="s">
        <v>781</v>
      </c>
      <c r="F327" s="128">
        <v>1</v>
      </c>
      <c r="G327" s="436">
        <v>0</v>
      </c>
      <c r="H327" s="140">
        <f>F327*(1+G327)</f>
        <v>1</v>
      </c>
      <c r="I327" s="141" t="s">
        <v>20</v>
      </c>
      <c r="J327" s="817">
        <v>0</v>
      </c>
      <c r="K327" s="437">
        <f t="shared" si="140"/>
        <v>0</v>
      </c>
      <c r="L327" s="429"/>
      <c r="M327" s="343"/>
      <c r="N327" s="343"/>
      <c r="O327" s="343"/>
      <c r="P327" s="343"/>
      <c r="Q327" s="343"/>
      <c r="R327" s="343"/>
      <c r="S327" s="343"/>
      <c r="T327" s="343"/>
      <c r="U327" s="343"/>
      <c r="V327" s="343"/>
      <c r="W327" s="343"/>
    </row>
    <row r="328" spans="1:23" ht="63" x14ac:dyDescent="0.2">
      <c r="A328" s="352">
        <f>IF(F328&lt;&gt;"",1+MAX($A$6:A327),"")</f>
        <v>249</v>
      </c>
      <c r="B328" s="367" t="s">
        <v>726</v>
      </c>
      <c r="C328" s="364"/>
      <c r="D328" s="368"/>
      <c r="E328" s="369" t="s">
        <v>782</v>
      </c>
      <c r="F328" s="128">
        <v>83</v>
      </c>
      <c r="G328" s="436">
        <v>0</v>
      </c>
      <c r="H328" s="140">
        <f t="shared" ref="H328:H335" si="144">F328*(1+G328)</f>
        <v>83</v>
      </c>
      <c r="I328" s="141" t="s">
        <v>20</v>
      </c>
      <c r="J328" s="817">
        <v>0</v>
      </c>
      <c r="K328" s="437">
        <f t="shared" si="140"/>
        <v>0</v>
      </c>
      <c r="L328" s="429"/>
      <c r="M328" s="343"/>
      <c r="N328" s="343"/>
      <c r="O328" s="343"/>
      <c r="P328" s="343"/>
      <c r="Q328" s="343"/>
      <c r="R328" s="343"/>
      <c r="S328" s="343"/>
      <c r="T328" s="343"/>
      <c r="U328" s="343"/>
      <c r="V328" s="343"/>
      <c r="W328" s="343"/>
    </row>
    <row r="329" spans="1:23" ht="63" x14ac:dyDescent="0.2">
      <c r="A329" s="352">
        <f>IF(F329&lt;&gt;"",1+MAX($A$6:A328),"")</f>
        <v>250</v>
      </c>
      <c r="B329" s="367" t="s">
        <v>726</v>
      </c>
      <c r="C329" s="364"/>
      <c r="D329" s="368"/>
      <c r="E329" s="369" t="s">
        <v>783</v>
      </c>
      <c r="F329" s="128">
        <v>64</v>
      </c>
      <c r="G329" s="436">
        <v>0</v>
      </c>
      <c r="H329" s="140">
        <f t="shared" si="144"/>
        <v>64</v>
      </c>
      <c r="I329" s="141" t="s">
        <v>20</v>
      </c>
      <c r="J329" s="817">
        <v>0</v>
      </c>
      <c r="K329" s="437">
        <f t="shared" si="140"/>
        <v>0</v>
      </c>
      <c r="L329" s="429"/>
      <c r="M329" s="343"/>
      <c r="N329" s="343"/>
      <c r="O329" s="343"/>
      <c r="P329" s="343"/>
      <c r="Q329" s="343"/>
      <c r="R329" s="343"/>
      <c r="S329" s="343"/>
      <c r="T329" s="343"/>
      <c r="U329" s="343"/>
      <c r="V329" s="343"/>
      <c r="W329" s="343"/>
    </row>
    <row r="330" spans="1:23" ht="63" x14ac:dyDescent="0.2">
      <c r="A330" s="352">
        <f>IF(F330&lt;&gt;"",1+MAX($A$6:A329),"")</f>
        <v>251</v>
      </c>
      <c r="B330" s="367" t="s">
        <v>726</v>
      </c>
      <c r="C330" s="364"/>
      <c r="D330" s="368"/>
      <c r="E330" s="369" t="s">
        <v>784</v>
      </c>
      <c r="F330" s="128">
        <v>2</v>
      </c>
      <c r="G330" s="436">
        <v>0</v>
      </c>
      <c r="H330" s="140">
        <f t="shared" si="144"/>
        <v>2</v>
      </c>
      <c r="I330" s="141" t="s">
        <v>20</v>
      </c>
      <c r="J330" s="817">
        <v>0</v>
      </c>
      <c r="K330" s="437">
        <f t="shared" si="140"/>
        <v>0</v>
      </c>
      <c r="L330" s="429"/>
      <c r="M330" s="343"/>
      <c r="N330" s="343"/>
      <c r="O330" s="343"/>
      <c r="P330" s="343"/>
      <c r="Q330" s="343"/>
      <c r="R330" s="343"/>
      <c r="S330" s="343"/>
      <c r="T330" s="343"/>
      <c r="U330" s="343"/>
      <c r="V330" s="343"/>
      <c r="W330" s="343"/>
    </row>
    <row r="331" spans="1:23" ht="63" x14ac:dyDescent="0.2">
      <c r="A331" s="352">
        <f>IF(F331&lt;&gt;"",1+MAX($A$6:A330),"")</f>
        <v>252</v>
      </c>
      <c r="B331" s="367" t="s">
        <v>726</v>
      </c>
      <c r="C331" s="364"/>
      <c r="D331" s="368"/>
      <c r="E331" s="369" t="s">
        <v>785</v>
      </c>
      <c r="F331" s="128">
        <v>1</v>
      </c>
      <c r="G331" s="436">
        <v>0</v>
      </c>
      <c r="H331" s="140">
        <f t="shared" si="144"/>
        <v>1</v>
      </c>
      <c r="I331" s="141" t="s">
        <v>20</v>
      </c>
      <c r="J331" s="817">
        <v>0</v>
      </c>
      <c r="K331" s="437">
        <f t="shared" si="140"/>
        <v>0</v>
      </c>
      <c r="L331" s="429"/>
      <c r="M331" s="343"/>
      <c r="N331" s="343"/>
      <c r="O331" s="343"/>
      <c r="P331" s="343"/>
      <c r="Q331" s="343"/>
      <c r="R331" s="343"/>
      <c r="S331" s="343"/>
      <c r="T331" s="343"/>
      <c r="U331" s="343"/>
      <c r="V331" s="343"/>
      <c r="W331" s="343"/>
    </row>
    <row r="332" spans="1:23" ht="63" x14ac:dyDescent="0.2">
      <c r="A332" s="352">
        <f>IF(F332&lt;&gt;"",1+MAX($A$6:A331),"")</f>
        <v>253</v>
      </c>
      <c r="B332" s="367" t="s">
        <v>726</v>
      </c>
      <c r="C332" s="364"/>
      <c r="D332" s="368"/>
      <c r="E332" s="369" t="s">
        <v>786</v>
      </c>
      <c r="F332" s="128">
        <v>1</v>
      </c>
      <c r="G332" s="436">
        <v>0</v>
      </c>
      <c r="H332" s="140">
        <f t="shared" si="144"/>
        <v>1</v>
      </c>
      <c r="I332" s="141" t="s">
        <v>20</v>
      </c>
      <c r="J332" s="817">
        <v>0</v>
      </c>
      <c r="K332" s="437">
        <f t="shared" si="140"/>
        <v>0</v>
      </c>
      <c r="L332" s="429"/>
      <c r="M332" s="343"/>
      <c r="N332" s="343"/>
      <c r="O332" s="343"/>
      <c r="P332" s="343"/>
      <c r="Q332" s="343"/>
      <c r="R332" s="343"/>
      <c r="S332" s="343"/>
      <c r="T332" s="343"/>
      <c r="U332" s="343"/>
      <c r="V332" s="343"/>
      <c r="W332" s="343"/>
    </row>
    <row r="333" spans="1:23" ht="63" x14ac:dyDescent="0.2">
      <c r="A333" s="352">
        <f>IF(F333&lt;&gt;"",1+MAX($A$6:A332),"")</f>
        <v>254</v>
      </c>
      <c r="B333" s="367" t="s">
        <v>726</v>
      </c>
      <c r="C333" s="364"/>
      <c r="D333" s="368"/>
      <c r="E333" s="369" t="s">
        <v>787</v>
      </c>
      <c r="F333" s="128">
        <v>1</v>
      </c>
      <c r="G333" s="436">
        <v>0</v>
      </c>
      <c r="H333" s="140">
        <f t="shared" si="144"/>
        <v>1</v>
      </c>
      <c r="I333" s="141" t="s">
        <v>20</v>
      </c>
      <c r="J333" s="817">
        <v>0</v>
      </c>
      <c r="K333" s="437">
        <f t="shared" si="140"/>
        <v>0</v>
      </c>
      <c r="L333" s="429"/>
      <c r="M333" s="343"/>
      <c r="N333" s="343"/>
      <c r="O333" s="343"/>
      <c r="P333" s="343"/>
      <c r="Q333" s="343"/>
      <c r="R333" s="343"/>
      <c r="S333" s="343"/>
      <c r="T333" s="343"/>
      <c r="U333" s="343"/>
      <c r="V333" s="343"/>
      <c r="W333" s="343"/>
    </row>
    <row r="334" spans="1:23" ht="63" x14ac:dyDescent="0.2">
      <c r="A334" s="352">
        <f>IF(F334&lt;&gt;"",1+MAX($A$6:A333),"")</f>
        <v>255</v>
      </c>
      <c r="B334" s="367" t="s">
        <v>726</v>
      </c>
      <c r="C334" s="361"/>
      <c r="D334" s="361"/>
      <c r="E334" s="369" t="s">
        <v>788</v>
      </c>
      <c r="F334" s="128">
        <v>6</v>
      </c>
      <c r="G334" s="436">
        <v>0</v>
      </c>
      <c r="H334" s="140">
        <f t="shared" si="144"/>
        <v>6</v>
      </c>
      <c r="I334" s="141" t="s">
        <v>20</v>
      </c>
      <c r="J334" s="817">
        <v>0</v>
      </c>
      <c r="K334" s="437">
        <f t="shared" si="140"/>
        <v>0</v>
      </c>
      <c r="L334" s="429"/>
      <c r="M334" s="343"/>
      <c r="N334" s="343"/>
      <c r="O334" s="343"/>
      <c r="P334" s="343"/>
      <c r="Q334" s="343"/>
      <c r="R334" s="343"/>
      <c r="S334" s="343"/>
      <c r="T334" s="343"/>
      <c r="U334" s="343"/>
      <c r="V334" s="343"/>
      <c r="W334" s="343"/>
    </row>
    <row r="335" spans="1:23" ht="63" x14ac:dyDescent="0.2">
      <c r="A335" s="352">
        <f>IF(F335&lt;&gt;"",1+MAX($A$6:A334),"")</f>
        <v>256</v>
      </c>
      <c r="B335" s="367" t="s">
        <v>726</v>
      </c>
      <c r="C335" s="364"/>
      <c r="D335" s="368"/>
      <c r="E335" s="369" t="s">
        <v>789</v>
      </c>
      <c r="F335" s="128">
        <v>43</v>
      </c>
      <c r="G335" s="436">
        <v>0</v>
      </c>
      <c r="H335" s="140">
        <f t="shared" si="144"/>
        <v>43</v>
      </c>
      <c r="I335" s="141" t="s">
        <v>20</v>
      </c>
      <c r="J335" s="817">
        <v>0</v>
      </c>
      <c r="K335" s="437">
        <f t="shared" si="140"/>
        <v>0</v>
      </c>
      <c r="L335" s="429"/>
      <c r="M335" s="343"/>
      <c r="N335" s="343"/>
      <c r="O335" s="343"/>
      <c r="P335" s="343"/>
      <c r="Q335" s="343"/>
      <c r="R335" s="343"/>
      <c r="S335" s="343"/>
      <c r="T335" s="343"/>
      <c r="U335" s="343"/>
      <c r="V335" s="343"/>
      <c r="W335" s="343"/>
    </row>
    <row r="336" spans="1:23" ht="63" x14ac:dyDescent="0.2">
      <c r="A336" s="352">
        <f>IF(F336&lt;&gt;"",1+MAX($A$6:A335),"")</f>
        <v>257</v>
      </c>
      <c r="B336" s="367" t="s">
        <v>726</v>
      </c>
      <c r="C336" s="361"/>
      <c r="D336" s="361"/>
      <c r="E336" s="369" t="s">
        <v>790</v>
      </c>
      <c r="F336" s="128">
        <v>1</v>
      </c>
      <c r="G336" s="436">
        <v>0</v>
      </c>
      <c r="H336" s="140">
        <f>F336*(1+G336)</f>
        <v>1</v>
      </c>
      <c r="I336" s="141" t="s">
        <v>20</v>
      </c>
      <c r="J336" s="817">
        <v>0</v>
      </c>
      <c r="K336" s="437">
        <f t="shared" si="140"/>
        <v>0</v>
      </c>
      <c r="L336" s="429"/>
      <c r="M336" s="343"/>
      <c r="N336" s="343"/>
      <c r="O336" s="343"/>
      <c r="P336" s="343"/>
      <c r="Q336" s="343"/>
      <c r="R336" s="343"/>
      <c r="S336" s="343"/>
      <c r="T336" s="343"/>
      <c r="U336" s="343"/>
      <c r="V336" s="343"/>
      <c r="W336" s="343"/>
    </row>
    <row r="337" spans="1:23" ht="63" x14ac:dyDescent="0.2">
      <c r="A337" s="352">
        <f>IF(F337&lt;&gt;"",1+MAX($A$6:A336),"")</f>
        <v>258</v>
      </c>
      <c r="B337" s="367" t="s">
        <v>726</v>
      </c>
      <c r="C337" s="361"/>
      <c r="D337" s="361"/>
      <c r="E337" s="369" t="s">
        <v>791</v>
      </c>
      <c r="F337" s="128">
        <v>1</v>
      </c>
      <c r="G337" s="436">
        <v>0</v>
      </c>
      <c r="H337" s="140">
        <f>F337*(1+G337)</f>
        <v>1</v>
      </c>
      <c r="I337" s="141" t="s">
        <v>20</v>
      </c>
      <c r="J337" s="817">
        <v>0</v>
      </c>
      <c r="K337" s="437">
        <f t="shared" si="140"/>
        <v>0</v>
      </c>
      <c r="L337" s="429"/>
      <c r="M337" s="343"/>
      <c r="N337" s="343"/>
      <c r="O337" s="343"/>
      <c r="P337" s="343"/>
      <c r="Q337" s="343"/>
      <c r="R337" s="343"/>
      <c r="S337" s="343"/>
      <c r="T337" s="343"/>
      <c r="U337" s="343"/>
      <c r="V337" s="343"/>
      <c r="W337" s="343"/>
    </row>
    <row r="338" spans="1:23" ht="63" x14ac:dyDescent="0.2">
      <c r="A338" s="352">
        <f>IF(F338&lt;&gt;"",1+MAX($A$6:A337),"")</f>
        <v>259</v>
      </c>
      <c r="B338" s="367" t="s">
        <v>726</v>
      </c>
      <c r="C338" s="364"/>
      <c r="D338" s="368"/>
      <c r="E338" s="369" t="s">
        <v>792</v>
      </c>
      <c r="F338" s="128">
        <v>2</v>
      </c>
      <c r="G338" s="436">
        <v>0</v>
      </c>
      <c r="H338" s="140">
        <f t="shared" ref="H338:H344" si="145">F338*(1+G338)</f>
        <v>2</v>
      </c>
      <c r="I338" s="141" t="s">
        <v>20</v>
      </c>
      <c r="J338" s="817">
        <v>0</v>
      </c>
      <c r="K338" s="437">
        <f t="shared" si="140"/>
        <v>0</v>
      </c>
      <c r="L338" s="429"/>
      <c r="M338" s="343"/>
      <c r="N338" s="343"/>
      <c r="O338" s="343"/>
      <c r="P338" s="343"/>
      <c r="Q338" s="343"/>
      <c r="R338" s="343"/>
      <c r="S338" s="343"/>
      <c r="T338" s="343"/>
      <c r="U338" s="343"/>
      <c r="V338" s="343"/>
      <c r="W338" s="343"/>
    </row>
    <row r="339" spans="1:23" ht="63" x14ac:dyDescent="0.2">
      <c r="A339" s="352">
        <f>IF(F339&lt;&gt;"",1+MAX($A$6:A338),"")</f>
        <v>260</v>
      </c>
      <c r="B339" s="367" t="s">
        <v>726</v>
      </c>
      <c r="C339" s="364"/>
      <c r="D339" s="368"/>
      <c r="E339" s="369" t="s">
        <v>793</v>
      </c>
      <c r="F339" s="128">
        <v>2</v>
      </c>
      <c r="G339" s="436">
        <v>0</v>
      </c>
      <c r="H339" s="140">
        <f t="shared" si="145"/>
        <v>2</v>
      </c>
      <c r="I339" s="141" t="s">
        <v>20</v>
      </c>
      <c r="J339" s="817">
        <v>0</v>
      </c>
      <c r="K339" s="437">
        <f t="shared" si="140"/>
        <v>0</v>
      </c>
      <c r="L339" s="429"/>
      <c r="M339" s="343"/>
      <c r="N339" s="343"/>
      <c r="O339" s="343"/>
      <c r="P339" s="343"/>
      <c r="Q339" s="343"/>
      <c r="R339" s="343"/>
      <c r="S339" s="343"/>
      <c r="T339" s="343"/>
      <c r="U339" s="343"/>
      <c r="V339" s="343"/>
      <c r="W339" s="343"/>
    </row>
    <row r="340" spans="1:23" ht="63" x14ac:dyDescent="0.2">
      <c r="A340" s="352">
        <f>IF(F340&lt;&gt;"",1+MAX($A$6:A339),"")</f>
        <v>261</v>
      </c>
      <c r="B340" s="367" t="s">
        <v>726</v>
      </c>
      <c r="C340" s="364"/>
      <c r="D340" s="368"/>
      <c r="E340" s="369" t="s">
        <v>794</v>
      </c>
      <c r="F340" s="128">
        <v>20</v>
      </c>
      <c r="G340" s="436">
        <v>0</v>
      </c>
      <c r="H340" s="140">
        <f t="shared" si="145"/>
        <v>20</v>
      </c>
      <c r="I340" s="141" t="s">
        <v>20</v>
      </c>
      <c r="J340" s="817">
        <v>0</v>
      </c>
      <c r="K340" s="437">
        <f t="shared" si="140"/>
        <v>0</v>
      </c>
      <c r="L340" s="429"/>
      <c r="M340" s="343"/>
      <c r="N340" s="343"/>
      <c r="O340" s="343"/>
      <c r="P340" s="343"/>
      <c r="Q340" s="343"/>
      <c r="R340" s="343"/>
      <c r="S340" s="343"/>
      <c r="T340" s="343"/>
      <c r="U340" s="343"/>
      <c r="V340" s="343"/>
      <c r="W340" s="343"/>
    </row>
    <row r="341" spans="1:23" ht="63" x14ac:dyDescent="0.2">
      <c r="A341" s="352">
        <f>IF(F341&lt;&gt;"",1+MAX($A$6:A340),"")</f>
        <v>262</v>
      </c>
      <c r="B341" s="367" t="s">
        <v>726</v>
      </c>
      <c r="C341" s="364"/>
      <c r="D341" s="368"/>
      <c r="E341" s="369" t="s">
        <v>795</v>
      </c>
      <c r="F341" s="128">
        <v>1</v>
      </c>
      <c r="G341" s="436">
        <v>0</v>
      </c>
      <c r="H341" s="140">
        <f t="shared" si="145"/>
        <v>1</v>
      </c>
      <c r="I341" s="141" t="s">
        <v>20</v>
      </c>
      <c r="J341" s="817">
        <v>0</v>
      </c>
      <c r="K341" s="437">
        <f t="shared" si="140"/>
        <v>0</v>
      </c>
      <c r="L341" s="429"/>
      <c r="M341" s="343"/>
      <c r="N341" s="343"/>
      <c r="O341" s="343"/>
      <c r="P341" s="343"/>
      <c r="Q341" s="343"/>
      <c r="R341" s="343"/>
      <c r="S341" s="343"/>
      <c r="T341" s="343"/>
      <c r="U341" s="343"/>
      <c r="V341" s="343"/>
      <c r="W341" s="343"/>
    </row>
    <row r="342" spans="1:23" ht="63" x14ac:dyDescent="0.2">
      <c r="A342" s="352">
        <f>IF(F342&lt;&gt;"",1+MAX($A$6:A341),"")</f>
        <v>263</v>
      </c>
      <c r="B342" s="367" t="s">
        <v>726</v>
      </c>
      <c r="C342" s="364"/>
      <c r="D342" s="368"/>
      <c r="E342" s="369" t="s">
        <v>796</v>
      </c>
      <c r="F342" s="128">
        <v>1</v>
      </c>
      <c r="G342" s="436">
        <v>0</v>
      </c>
      <c r="H342" s="140">
        <f t="shared" si="145"/>
        <v>1</v>
      </c>
      <c r="I342" s="141" t="s">
        <v>20</v>
      </c>
      <c r="J342" s="817">
        <v>0</v>
      </c>
      <c r="K342" s="437">
        <f t="shared" si="140"/>
        <v>0</v>
      </c>
      <c r="L342" s="429"/>
      <c r="M342" s="343"/>
      <c r="N342" s="343"/>
      <c r="O342" s="343"/>
      <c r="P342" s="343"/>
      <c r="Q342" s="343"/>
      <c r="R342" s="343"/>
      <c r="S342" s="343"/>
      <c r="T342" s="343"/>
      <c r="U342" s="343"/>
      <c r="V342" s="343"/>
      <c r="W342" s="343"/>
    </row>
    <row r="343" spans="1:23" ht="63" x14ac:dyDescent="0.2">
      <c r="A343" s="352">
        <f>IF(F343&lt;&gt;"",1+MAX($A$6:A342),"")</f>
        <v>264</v>
      </c>
      <c r="B343" s="367" t="s">
        <v>726</v>
      </c>
      <c r="C343" s="361"/>
      <c r="D343" s="361"/>
      <c r="E343" s="369" t="s">
        <v>797</v>
      </c>
      <c r="F343" s="128">
        <v>1</v>
      </c>
      <c r="G343" s="436">
        <v>0</v>
      </c>
      <c r="H343" s="140">
        <f t="shared" si="145"/>
        <v>1</v>
      </c>
      <c r="I343" s="141" t="s">
        <v>20</v>
      </c>
      <c r="J343" s="817">
        <v>0</v>
      </c>
      <c r="K343" s="437">
        <f t="shared" si="140"/>
        <v>0</v>
      </c>
      <c r="L343" s="429"/>
      <c r="M343" s="343"/>
      <c r="N343" s="343"/>
      <c r="O343" s="343"/>
      <c r="P343" s="343"/>
      <c r="Q343" s="343"/>
      <c r="R343" s="343"/>
      <c r="S343" s="343"/>
      <c r="T343" s="343"/>
      <c r="U343" s="343"/>
      <c r="V343" s="343"/>
      <c r="W343" s="343"/>
    </row>
    <row r="344" spans="1:23" ht="63" x14ac:dyDescent="0.2">
      <c r="A344" s="352">
        <f>IF(F344&lt;&gt;"",1+MAX($A$6:A343),"")</f>
        <v>265</v>
      </c>
      <c r="B344" s="367" t="s">
        <v>726</v>
      </c>
      <c r="C344" s="364"/>
      <c r="D344" s="368"/>
      <c r="E344" s="369" t="s">
        <v>798</v>
      </c>
      <c r="F344" s="128">
        <v>1</v>
      </c>
      <c r="G344" s="436">
        <v>0</v>
      </c>
      <c r="H344" s="140">
        <f t="shared" si="145"/>
        <v>1</v>
      </c>
      <c r="I344" s="141" t="s">
        <v>20</v>
      </c>
      <c r="J344" s="817">
        <v>0</v>
      </c>
      <c r="K344" s="437">
        <f t="shared" si="140"/>
        <v>0</v>
      </c>
      <c r="L344" s="429"/>
      <c r="M344" s="343"/>
      <c r="N344" s="343"/>
      <c r="O344" s="343"/>
      <c r="P344" s="343"/>
      <c r="Q344" s="343"/>
      <c r="R344" s="343"/>
      <c r="S344" s="343"/>
      <c r="T344" s="343"/>
      <c r="U344" s="343"/>
      <c r="V344" s="343"/>
      <c r="W344" s="343"/>
    </row>
    <row r="345" spans="1:23" ht="63" x14ac:dyDescent="0.2">
      <c r="A345" s="352">
        <f>IF(F345&lt;&gt;"",1+MAX($A$6:A344),"")</f>
        <v>266</v>
      </c>
      <c r="B345" s="367" t="s">
        <v>726</v>
      </c>
      <c r="C345" s="361"/>
      <c r="D345" s="361"/>
      <c r="E345" s="369" t="s">
        <v>799</v>
      </c>
      <c r="F345" s="128">
        <v>1</v>
      </c>
      <c r="G345" s="436">
        <v>0</v>
      </c>
      <c r="H345" s="140">
        <f>F345*(1+G345)</f>
        <v>1</v>
      </c>
      <c r="I345" s="141" t="s">
        <v>20</v>
      </c>
      <c r="J345" s="817">
        <v>0</v>
      </c>
      <c r="K345" s="437">
        <f t="shared" si="140"/>
        <v>0</v>
      </c>
      <c r="L345" s="429"/>
      <c r="M345" s="343"/>
      <c r="N345" s="343"/>
      <c r="O345" s="343"/>
      <c r="P345" s="343"/>
      <c r="Q345" s="343"/>
      <c r="R345" s="343"/>
      <c r="S345" s="343"/>
      <c r="T345" s="343"/>
      <c r="U345" s="343"/>
      <c r="V345" s="343"/>
      <c r="W345" s="343"/>
    </row>
    <row r="346" spans="1:23" ht="63" x14ac:dyDescent="0.2">
      <c r="A346" s="352">
        <f>IF(F346&lt;&gt;"",1+MAX($A$6:A345),"")</f>
        <v>267</v>
      </c>
      <c r="B346" s="367" t="s">
        <v>726</v>
      </c>
      <c r="C346" s="361"/>
      <c r="D346" s="361"/>
      <c r="E346" s="369" t="s">
        <v>800</v>
      </c>
      <c r="F346" s="128">
        <v>3</v>
      </c>
      <c r="G346" s="436">
        <v>0</v>
      </c>
      <c r="H346" s="140">
        <f>F346*(1+G346)</f>
        <v>3</v>
      </c>
      <c r="I346" s="141" t="s">
        <v>20</v>
      </c>
      <c r="J346" s="817">
        <v>0</v>
      </c>
      <c r="K346" s="437">
        <f t="shared" si="140"/>
        <v>0</v>
      </c>
      <c r="L346" s="429"/>
      <c r="M346" s="343"/>
      <c r="N346" s="343"/>
      <c r="O346" s="343"/>
      <c r="P346" s="343"/>
      <c r="Q346" s="343"/>
      <c r="R346" s="343"/>
      <c r="S346" s="343"/>
      <c r="T346" s="343"/>
      <c r="U346" s="343"/>
      <c r="V346" s="343"/>
      <c r="W346" s="343"/>
    </row>
    <row r="347" spans="1:23" ht="63" x14ac:dyDescent="0.2">
      <c r="A347" s="352">
        <f>IF(F347&lt;&gt;"",1+MAX($A$6:A346),"")</f>
        <v>268</v>
      </c>
      <c r="B347" s="367" t="s">
        <v>726</v>
      </c>
      <c r="C347" s="364"/>
      <c r="D347" s="368"/>
      <c r="E347" s="369" t="s">
        <v>801</v>
      </c>
      <c r="F347" s="128">
        <v>1</v>
      </c>
      <c r="G347" s="436">
        <v>0</v>
      </c>
      <c r="H347" s="140">
        <f t="shared" ref="H347:H355" si="146">F347*(1+G347)</f>
        <v>1</v>
      </c>
      <c r="I347" s="141" t="s">
        <v>20</v>
      </c>
      <c r="J347" s="817">
        <v>0</v>
      </c>
      <c r="K347" s="437">
        <f t="shared" si="140"/>
        <v>0</v>
      </c>
      <c r="L347" s="429"/>
      <c r="M347" s="343"/>
      <c r="N347" s="343"/>
      <c r="O347" s="343"/>
      <c r="P347" s="343"/>
      <c r="Q347" s="343"/>
      <c r="R347" s="343"/>
      <c r="S347" s="343"/>
      <c r="T347" s="343"/>
      <c r="U347" s="343"/>
      <c r="V347" s="343"/>
      <c r="W347" s="343"/>
    </row>
    <row r="348" spans="1:23" ht="63" x14ac:dyDescent="0.2">
      <c r="A348" s="352">
        <f>IF(F348&lt;&gt;"",1+MAX($A$6:A347),"")</f>
        <v>269</v>
      </c>
      <c r="B348" s="367" t="s">
        <v>726</v>
      </c>
      <c r="C348" s="364"/>
      <c r="D348" s="368"/>
      <c r="E348" s="369" t="s">
        <v>802</v>
      </c>
      <c r="F348" s="128">
        <v>5</v>
      </c>
      <c r="G348" s="436">
        <v>0</v>
      </c>
      <c r="H348" s="140">
        <f t="shared" si="146"/>
        <v>5</v>
      </c>
      <c r="I348" s="141" t="s">
        <v>20</v>
      </c>
      <c r="J348" s="817">
        <v>0</v>
      </c>
      <c r="K348" s="437">
        <f t="shared" si="140"/>
        <v>0</v>
      </c>
      <c r="L348" s="429"/>
      <c r="M348" s="343"/>
      <c r="N348" s="343"/>
      <c r="O348" s="343"/>
      <c r="P348" s="343"/>
      <c r="Q348" s="343"/>
      <c r="R348" s="343"/>
      <c r="S348" s="343"/>
      <c r="T348" s="343"/>
      <c r="U348" s="343"/>
      <c r="V348" s="343"/>
      <c r="W348" s="343"/>
    </row>
    <row r="349" spans="1:23" ht="63" x14ac:dyDescent="0.2">
      <c r="A349" s="352">
        <f>IF(F349&lt;&gt;"",1+MAX($A$6:A348),"")</f>
        <v>270</v>
      </c>
      <c r="B349" s="367" t="s">
        <v>726</v>
      </c>
      <c r="C349" s="364"/>
      <c r="D349" s="368"/>
      <c r="E349" s="369" t="s">
        <v>803</v>
      </c>
      <c r="F349" s="128">
        <v>2</v>
      </c>
      <c r="G349" s="436">
        <v>0</v>
      </c>
      <c r="H349" s="140">
        <f t="shared" si="146"/>
        <v>2</v>
      </c>
      <c r="I349" s="141" t="s">
        <v>20</v>
      </c>
      <c r="J349" s="817">
        <v>0</v>
      </c>
      <c r="K349" s="437">
        <f t="shared" si="140"/>
        <v>0</v>
      </c>
      <c r="L349" s="429"/>
      <c r="M349" s="343"/>
      <c r="N349" s="343"/>
      <c r="O349" s="343"/>
      <c r="P349" s="343"/>
      <c r="Q349" s="343"/>
      <c r="R349" s="343"/>
      <c r="S349" s="343"/>
      <c r="T349" s="343"/>
      <c r="U349" s="343"/>
      <c r="V349" s="343"/>
      <c r="W349" s="343"/>
    </row>
    <row r="350" spans="1:23" ht="63" x14ac:dyDescent="0.2">
      <c r="A350" s="352">
        <f>IF(F350&lt;&gt;"",1+MAX($A$6:A349),"")</f>
        <v>271</v>
      </c>
      <c r="B350" s="367" t="s">
        <v>726</v>
      </c>
      <c r="C350" s="364"/>
      <c r="D350" s="368"/>
      <c r="E350" s="369" t="s">
        <v>804</v>
      </c>
      <c r="F350" s="128">
        <v>1</v>
      </c>
      <c r="G350" s="436">
        <v>0</v>
      </c>
      <c r="H350" s="140">
        <f t="shared" si="146"/>
        <v>1</v>
      </c>
      <c r="I350" s="141" t="s">
        <v>20</v>
      </c>
      <c r="J350" s="817">
        <v>0</v>
      </c>
      <c r="K350" s="437">
        <f t="shared" si="140"/>
        <v>0</v>
      </c>
      <c r="L350" s="429"/>
      <c r="M350" s="343"/>
      <c r="N350" s="343"/>
      <c r="O350" s="343"/>
      <c r="P350" s="343"/>
      <c r="Q350" s="343"/>
      <c r="R350" s="343"/>
      <c r="S350" s="343"/>
      <c r="T350" s="343"/>
      <c r="U350" s="343"/>
      <c r="V350" s="343"/>
      <c r="W350" s="343"/>
    </row>
    <row r="351" spans="1:23" ht="63" x14ac:dyDescent="0.2">
      <c r="A351" s="352">
        <f>IF(F351&lt;&gt;"",1+MAX($A$6:A350),"")</f>
        <v>272</v>
      </c>
      <c r="B351" s="367" t="s">
        <v>726</v>
      </c>
      <c r="C351" s="364"/>
      <c r="D351" s="368"/>
      <c r="E351" s="369" t="s">
        <v>805</v>
      </c>
      <c r="F351" s="128">
        <v>24</v>
      </c>
      <c r="G351" s="436">
        <v>0</v>
      </c>
      <c r="H351" s="140">
        <f t="shared" si="146"/>
        <v>24</v>
      </c>
      <c r="I351" s="141" t="s">
        <v>20</v>
      </c>
      <c r="J351" s="817">
        <v>0</v>
      </c>
      <c r="K351" s="437">
        <f t="shared" si="140"/>
        <v>0</v>
      </c>
      <c r="L351" s="429"/>
      <c r="M351" s="343"/>
      <c r="N351" s="343"/>
      <c r="O351" s="343"/>
      <c r="P351" s="343"/>
      <c r="Q351" s="343"/>
      <c r="R351" s="343"/>
      <c r="S351" s="343"/>
      <c r="T351" s="343"/>
      <c r="U351" s="343"/>
      <c r="V351" s="343"/>
      <c r="W351" s="343"/>
    </row>
    <row r="352" spans="1:23" ht="63" x14ac:dyDescent="0.2">
      <c r="A352" s="352">
        <f>IF(F352&lt;&gt;"",1+MAX($A$6:A351),"")</f>
        <v>273</v>
      </c>
      <c r="B352" s="367" t="s">
        <v>726</v>
      </c>
      <c r="C352" s="364"/>
      <c r="D352" s="368"/>
      <c r="E352" s="369" t="s">
        <v>806</v>
      </c>
      <c r="F352" s="128">
        <v>1</v>
      </c>
      <c r="G352" s="436">
        <v>0</v>
      </c>
      <c r="H352" s="140">
        <f t="shared" si="146"/>
        <v>1</v>
      </c>
      <c r="I352" s="141" t="s">
        <v>20</v>
      </c>
      <c r="J352" s="817">
        <v>0</v>
      </c>
      <c r="K352" s="437">
        <f t="shared" si="140"/>
        <v>0</v>
      </c>
      <c r="L352" s="429"/>
      <c r="M352" s="343"/>
      <c r="N352" s="343"/>
      <c r="O352" s="343"/>
      <c r="P352" s="343"/>
      <c r="Q352" s="343"/>
      <c r="R352" s="343"/>
      <c r="S352" s="343"/>
      <c r="T352" s="343"/>
      <c r="U352" s="343"/>
      <c r="V352" s="343"/>
      <c r="W352" s="343"/>
    </row>
    <row r="353" spans="1:33" ht="63" x14ac:dyDescent="0.2">
      <c r="A353" s="352">
        <f>IF(F353&lt;&gt;"",1+MAX($A$6:A352),"")</f>
        <v>274</v>
      </c>
      <c r="B353" s="367" t="s">
        <v>726</v>
      </c>
      <c r="C353" s="364"/>
      <c r="D353" s="368"/>
      <c r="E353" s="369" t="s">
        <v>807</v>
      </c>
      <c r="F353" s="128">
        <v>1</v>
      </c>
      <c r="G353" s="436">
        <v>0</v>
      </c>
      <c r="H353" s="140">
        <f t="shared" si="146"/>
        <v>1</v>
      </c>
      <c r="I353" s="141" t="s">
        <v>20</v>
      </c>
      <c r="J353" s="817">
        <v>0</v>
      </c>
      <c r="K353" s="437">
        <f t="shared" si="140"/>
        <v>0</v>
      </c>
      <c r="L353" s="429"/>
      <c r="M353" s="343"/>
      <c r="N353" s="343"/>
      <c r="O353" s="343"/>
      <c r="P353" s="343"/>
      <c r="Q353" s="343"/>
      <c r="R353" s="343"/>
      <c r="S353" s="343"/>
      <c r="T353" s="343"/>
      <c r="U353" s="343"/>
      <c r="V353" s="343"/>
      <c r="W353" s="343"/>
    </row>
    <row r="354" spans="1:33" ht="63" x14ac:dyDescent="0.2">
      <c r="A354" s="352">
        <f>IF(F354&lt;&gt;"",1+MAX($A$6:A353),"")</f>
        <v>275</v>
      </c>
      <c r="B354" s="367" t="s">
        <v>726</v>
      </c>
      <c r="C354" s="361"/>
      <c r="D354" s="361"/>
      <c r="E354" s="369" t="s">
        <v>808</v>
      </c>
      <c r="F354" s="128">
        <v>208</v>
      </c>
      <c r="G354" s="436">
        <v>0</v>
      </c>
      <c r="H354" s="140">
        <f t="shared" si="146"/>
        <v>208</v>
      </c>
      <c r="I354" s="141" t="s">
        <v>20</v>
      </c>
      <c r="J354" s="817">
        <v>0</v>
      </c>
      <c r="K354" s="437">
        <f t="shared" si="140"/>
        <v>0</v>
      </c>
      <c r="L354" s="429"/>
      <c r="M354" s="343"/>
      <c r="N354" s="343"/>
      <c r="O354" s="343"/>
      <c r="P354" s="343"/>
      <c r="Q354" s="343"/>
      <c r="R354" s="343"/>
      <c r="S354" s="343"/>
      <c r="T354" s="343"/>
      <c r="U354" s="343"/>
      <c r="V354" s="343"/>
      <c r="W354" s="343"/>
    </row>
    <row r="355" spans="1:33" ht="63" x14ac:dyDescent="0.2">
      <c r="A355" s="352">
        <f>IF(F355&lt;&gt;"",1+MAX($A$6:A354),"")</f>
        <v>276</v>
      </c>
      <c r="B355" s="367" t="s">
        <v>726</v>
      </c>
      <c r="C355" s="364"/>
      <c r="D355" s="368"/>
      <c r="E355" s="369" t="s">
        <v>809</v>
      </c>
      <c r="F355" s="128">
        <v>12</v>
      </c>
      <c r="G355" s="436">
        <v>0</v>
      </c>
      <c r="H355" s="140">
        <f t="shared" si="146"/>
        <v>12</v>
      </c>
      <c r="I355" s="141" t="s">
        <v>20</v>
      </c>
      <c r="J355" s="817">
        <v>0</v>
      </c>
      <c r="K355" s="437">
        <f t="shared" si="140"/>
        <v>0</v>
      </c>
      <c r="L355" s="429"/>
      <c r="M355" s="343"/>
      <c r="N355" s="343"/>
      <c r="O355" s="343"/>
      <c r="P355" s="343"/>
      <c r="Q355" s="343"/>
      <c r="R355" s="343"/>
      <c r="S355" s="343"/>
      <c r="T355" s="343"/>
      <c r="U355" s="343"/>
      <c r="V355" s="343"/>
      <c r="W355" s="343"/>
    </row>
    <row r="356" spans="1:33" ht="63" x14ac:dyDescent="0.2">
      <c r="A356" s="352">
        <f>IF(F356&lt;&gt;"",1+MAX($A$6:A355),"")</f>
        <v>277</v>
      </c>
      <c r="B356" s="367" t="s">
        <v>726</v>
      </c>
      <c r="C356" s="361"/>
      <c r="D356" s="361"/>
      <c r="E356" s="369" t="s">
        <v>810</v>
      </c>
      <c r="F356" s="128">
        <v>1</v>
      </c>
      <c r="G356" s="436">
        <v>0</v>
      </c>
      <c r="H356" s="140">
        <f>F356*(1+G356)</f>
        <v>1</v>
      </c>
      <c r="I356" s="141" t="s">
        <v>20</v>
      </c>
      <c r="J356" s="817">
        <v>0</v>
      </c>
      <c r="K356" s="437">
        <f t="shared" si="140"/>
        <v>0</v>
      </c>
      <c r="L356" s="429"/>
      <c r="M356" s="343"/>
      <c r="N356" s="343"/>
      <c r="O356" s="343"/>
      <c r="P356" s="343"/>
      <c r="Q356" s="343"/>
      <c r="R356" s="343"/>
      <c r="S356" s="343"/>
      <c r="T356" s="343"/>
      <c r="U356" s="343"/>
      <c r="V356" s="343"/>
      <c r="W356" s="343"/>
    </row>
    <row r="357" spans="1:33" ht="16.5" thickBot="1" x14ac:dyDescent="0.25">
      <c r="A357" s="352" t="str">
        <f>IF(F357&lt;&gt;"",1+MAX($A$6:A356),"")</f>
        <v/>
      </c>
      <c r="B357" s="141"/>
      <c r="C357" s="364"/>
      <c r="D357" s="370"/>
      <c r="E357" s="371"/>
      <c r="F357" s="430"/>
      <c r="G357" s="431"/>
      <c r="H357" s="430"/>
      <c r="I357" s="432"/>
      <c r="J357" s="134"/>
      <c r="K357" s="433"/>
      <c r="L357" s="434"/>
      <c r="M357" s="343"/>
      <c r="N357" s="343"/>
      <c r="O357" s="343"/>
      <c r="P357" s="343"/>
      <c r="Q357" s="343"/>
      <c r="R357" s="343"/>
      <c r="S357" s="343"/>
      <c r="T357" s="343"/>
      <c r="U357" s="343"/>
      <c r="V357" s="343"/>
      <c r="W357" s="343"/>
    </row>
    <row r="358" spans="1:33" ht="16.5" customHeight="1" thickBot="1" x14ac:dyDescent="0.25">
      <c r="A358" s="352" t="str">
        <f>IF(F358&lt;&gt;"",1+MAX($A$6:A357),"")</f>
        <v/>
      </c>
      <c r="B358" s="123"/>
      <c r="C358" s="364"/>
      <c r="D358" s="365"/>
      <c r="E358" s="366" t="s">
        <v>811</v>
      </c>
      <c r="F358" s="435"/>
      <c r="G358" s="431"/>
      <c r="H358" s="430"/>
      <c r="I358" s="432"/>
      <c r="J358" s="134"/>
      <c r="K358" s="428"/>
      <c r="L358" s="429"/>
      <c r="M358" s="345"/>
      <c r="N358" s="345"/>
      <c r="O358" s="345"/>
      <c r="P358" s="345"/>
      <c r="Q358" s="345"/>
      <c r="R358" s="343"/>
      <c r="S358" s="343"/>
      <c r="T358" s="343"/>
      <c r="U358" s="343"/>
      <c r="V358" s="343"/>
      <c r="W358" s="343"/>
    </row>
    <row r="359" spans="1:33" ht="48" customHeight="1" x14ac:dyDescent="0.2">
      <c r="A359" s="352">
        <f>IF(F359&lt;&gt;"",1+MAX($A$6:A358),"")</f>
        <v>278</v>
      </c>
      <c r="B359" s="367"/>
      <c r="C359" s="364"/>
      <c r="D359" s="368"/>
      <c r="E359" s="383" t="s">
        <v>812</v>
      </c>
      <c r="F359" s="128">
        <v>1</v>
      </c>
      <c r="G359" s="436">
        <v>0</v>
      </c>
      <c r="H359" s="140">
        <f>F359*(1+G359)</f>
        <v>1</v>
      </c>
      <c r="I359" s="141" t="s">
        <v>27</v>
      </c>
      <c r="J359" s="817">
        <v>0</v>
      </c>
      <c r="K359" s="437">
        <f>J359*H359</f>
        <v>0</v>
      </c>
      <c r="L359" s="429"/>
      <c r="M359" s="820"/>
      <c r="N359" s="343"/>
      <c r="O359" s="343"/>
      <c r="P359" s="343"/>
      <c r="Q359" s="343"/>
      <c r="R359" s="343"/>
      <c r="S359" s="343"/>
      <c r="T359" s="343"/>
      <c r="U359" s="343"/>
      <c r="V359" s="343"/>
      <c r="W359" s="343"/>
    </row>
    <row r="360" spans="1:33" ht="16.5" thickBot="1" x14ac:dyDescent="0.25">
      <c r="A360" s="352" t="str">
        <f>IF(F360&lt;&gt;"",1+MAX($A$6:A359),"")</f>
        <v/>
      </c>
      <c r="B360" s="141"/>
      <c r="C360" s="364"/>
      <c r="D360" s="370"/>
      <c r="E360" s="379"/>
      <c r="F360" s="440"/>
      <c r="G360" s="441"/>
      <c r="H360" s="442"/>
      <c r="I360" s="443"/>
      <c r="J360" s="444"/>
      <c r="K360" s="445"/>
      <c r="L360" s="429"/>
      <c r="M360" s="343"/>
      <c r="N360" s="343"/>
      <c r="O360" s="343"/>
      <c r="P360" s="343"/>
      <c r="Q360" s="343"/>
      <c r="R360" s="343"/>
      <c r="S360" s="343"/>
      <c r="T360" s="343"/>
      <c r="U360" s="343"/>
      <c r="V360" s="343"/>
      <c r="W360" s="343"/>
    </row>
    <row r="361" spans="1:33" ht="16.5" thickBot="1" x14ac:dyDescent="0.25">
      <c r="A361" s="352" t="str">
        <f>IF(F361&lt;&gt;"",1+MAX($A$6:A360),"")</f>
        <v/>
      </c>
      <c r="B361" s="141"/>
      <c r="C361" s="364"/>
      <c r="D361" s="370"/>
      <c r="E361" s="371" t="s">
        <v>813</v>
      </c>
      <c r="F361" s="430"/>
      <c r="G361" s="431"/>
      <c r="H361" s="430"/>
      <c r="I361" s="432"/>
      <c r="J361" s="134"/>
      <c r="K361" s="433"/>
      <c r="L361" s="446">
        <f>SUM(K262:K360)</f>
        <v>0</v>
      </c>
      <c r="M361" s="380"/>
      <c r="N361" s="343"/>
      <c r="O361" s="343"/>
      <c r="P361" s="343"/>
      <c r="Q361" s="343"/>
      <c r="R361" s="343"/>
      <c r="S361" s="343"/>
      <c r="T361" s="343"/>
      <c r="U361" s="343"/>
      <c r="V361" s="343"/>
      <c r="W361" s="343"/>
    </row>
    <row r="362" spans="1:33" ht="16.5" thickBot="1" x14ac:dyDescent="0.25">
      <c r="A362" s="352" t="str">
        <f>IF(F362&lt;&gt;"",1+MAX($A$6:A361),"")</f>
        <v/>
      </c>
      <c r="B362" s="384"/>
      <c r="C362" s="385"/>
      <c r="D362" s="386"/>
      <c r="E362" s="387"/>
      <c r="F362" s="448"/>
      <c r="G362" s="441"/>
      <c r="H362" s="449"/>
      <c r="I362" s="443"/>
      <c r="J362" s="444"/>
      <c r="K362" s="450"/>
      <c r="L362" s="429"/>
      <c r="M362" s="343"/>
      <c r="N362" s="343"/>
      <c r="O362" s="343"/>
      <c r="P362" s="343"/>
      <c r="Q362" s="343"/>
      <c r="R362" s="343"/>
      <c r="S362" s="343"/>
      <c r="T362" s="343"/>
      <c r="U362" s="343"/>
      <c r="V362" s="343"/>
      <c r="W362" s="343"/>
    </row>
    <row r="363" spans="1:33" ht="19.5" thickBot="1" x14ac:dyDescent="0.25">
      <c r="A363" s="352" t="str">
        <f>IF(F363&lt;&gt;"",1+MAX($A$6:A362),"")</f>
        <v/>
      </c>
      <c r="B363" s="353"/>
      <c r="C363" s="354"/>
      <c r="D363" s="354" t="s">
        <v>814</v>
      </c>
      <c r="E363" s="355" t="s">
        <v>815</v>
      </c>
      <c r="F363" s="447"/>
      <c r="G363" s="355"/>
      <c r="H363" s="355"/>
      <c r="I363" s="355"/>
      <c r="J363" s="355"/>
      <c r="K363" s="355"/>
      <c r="L363" s="356"/>
      <c r="M363" s="345"/>
      <c r="N363" s="345"/>
      <c r="O363" s="345"/>
      <c r="P363" s="345"/>
      <c r="Q363" s="345"/>
      <c r="R363" s="343"/>
      <c r="S363" s="343"/>
      <c r="T363" s="343"/>
      <c r="U363" s="343"/>
      <c r="V363" s="343"/>
      <c r="W363" s="343"/>
    </row>
    <row r="364" spans="1:33" ht="16.5" customHeight="1" thickBot="1" x14ac:dyDescent="0.25">
      <c r="A364" s="352" t="str">
        <f>IF(F364&lt;&gt;"",1+MAX($A$6:A363),"")</f>
        <v/>
      </c>
      <c r="B364" s="123"/>
      <c r="C364" s="364"/>
      <c r="D364" s="365"/>
      <c r="E364" s="366" t="s">
        <v>816</v>
      </c>
      <c r="F364" s="435"/>
      <c r="G364" s="431"/>
      <c r="H364" s="430"/>
      <c r="I364" s="432"/>
      <c r="J364" s="134"/>
      <c r="K364" s="428"/>
      <c r="L364" s="429"/>
      <c r="M364" s="345"/>
      <c r="N364" s="345"/>
      <c r="O364" s="345"/>
      <c r="P364" s="345"/>
      <c r="Q364" s="345"/>
      <c r="R364" s="343"/>
      <c r="S364" s="343"/>
      <c r="T364" s="343"/>
      <c r="U364" s="343"/>
      <c r="V364" s="343"/>
      <c r="W364" s="343"/>
    </row>
    <row r="365" spans="1:33" s="822" customFormat="1" x14ac:dyDescent="0.2">
      <c r="A365" s="352">
        <f>IF(F365&lt;&gt;"",1+MAX($A$6:A364),"")</f>
        <v>279</v>
      </c>
      <c r="B365" s="367" t="s">
        <v>817</v>
      </c>
      <c r="C365" s="361"/>
      <c r="D365" s="361"/>
      <c r="E365" s="373" t="s">
        <v>818</v>
      </c>
      <c r="F365" s="738">
        <v>63</v>
      </c>
      <c r="G365" s="772">
        <v>0</v>
      </c>
      <c r="H365" s="128">
        <f t="shared" ref="H365:H375" si="147">F365*(1+G365)</f>
        <v>63</v>
      </c>
      <c r="I365" s="129" t="s">
        <v>20</v>
      </c>
      <c r="J365" s="817">
        <v>0</v>
      </c>
      <c r="K365" s="437">
        <f t="shared" ref="K365:K394" si="148">J365*H365</f>
        <v>0</v>
      </c>
      <c r="L365" s="388"/>
      <c r="M365" s="821"/>
      <c r="N365" s="821"/>
      <c r="O365" s="821"/>
      <c r="P365" s="821"/>
      <c r="Q365" s="821"/>
      <c r="R365" s="821"/>
      <c r="S365" s="821"/>
      <c r="T365" s="821"/>
      <c r="U365" s="821"/>
      <c r="V365" s="821"/>
      <c r="W365" s="821"/>
      <c r="X365" s="821"/>
      <c r="Y365" s="821"/>
      <c r="Z365" s="821"/>
      <c r="AA365" s="821"/>
      <c r="AB365" s="821"/>
      <c r="AC365" s="821"/>
      <c r="AD365" s="821"/>
      <c r="AE365" s="821"/>
      <c r="AF365" s="821"/>
      <c r="AG365" s="821"/>
    </row>
    <row r="366" spans="1:33" s="822" customFormat="1" x14ac:dyDescent="0.2">
      <c r="A366" s="352">
        <f>IF(F366&lt;&gt;"",1+MAX($A$6:A365),"")</f>
        <v>280</v>
      </c>
      <c r="B366" s="367" t="s">
        <v>817</v>
      </c>
      <c r="C366" s="361"/>
      <c r="D366" s="368"/>
      <c r="E366" s="373" t="s">
        <v>819</v>
      </c>
      <c r="F366" s="738">
        <v>272</v>
      </c>
      <c r="G366" s="772">
        <v>0</v>
      </c>
      <c r="H366" s="128">
        <f t="shared" si="147"/>
        <v>272</v>
      </c>
      <c r="I366" s="129" t="s">
        <v>20</v>
      </c>
      <c r="J366" s="817">
        <v>0</v>
      </c>
      <c r="K366" s="437">
        <f t="shared" si="148"/>
        <v>0</v>
      </c>
      <c r="L366" s="388"/>
      <c r="M366" s="821"/>
      <c r="N366" s="821"/>
      <c r="O366" s="821"/>
      <c r="P366" s="821"/>
      <c r="Q366" s="821"/>
      <c r="R366" s="821"/>
      <c r="S366" s="821"/>
      <c r="T366" s="821"/>
      <c r="U366" s="821"/>
      <c r="V366" s="821"/>
      <c r="W366" s="821"/>
      <c r="X366" s="821"/>
      <c r="Y366" s="821"/>
      <c r="Z366" s="821"/>
      <c r="AA366" s="821"/>
      <c r="AB366" s="821"/>
      <c r="AC366" s="821"/>
      <c r="AD366" s="821"/>
      <c r="AE366" s="821"/>
      <c r="AF366" s="821"/>
      <c r="AG366" s="821"/>
    </row>
    <row r="367" spans="1:33" s="822" customFormat="1" x14ac:dyDescent="0.2">
      <c r="A367" s="352">
        <f>IF(F367&lt;&gt;"",1+MAX($A$6:A366),"")</f>
        <v>281</v>
      </c>
      <c r="B367" s="367" t="s">
        <v>817</v>
      </c>
      <c r="C367" s="361"/>
      <c r="D367" s="361"/>
      <c r="E367" s="373" t="s">
        <v>820</v>
      </c>
      <c r="F367" s="738">
        <v>3</v>
      </c>
      <c r="G367" s="772">
        <v>0</v>
      </c>
      <c r="H367" s="128">
        <f t="shared" si="147"/>
        <v>3</v>
      </c>
      <c r="I367" s="129" t="s">
        <v>20</v>
      </c>
      <c r="J367" s="817">
        <v>0</v>
      </c>
      <c r="K367" s="437">
        <f t="shared" si="148"/>
        <v>0</v>
      </c>
      <c r="L367" s="388"/>
      <c r="M367" s="821"/>
      <c r="N367" s="821"/>
      <c r="O367" s="821"/>
      <c r="P367" s="821"/>
      <c r="Q367" s="821"/>
      <c r="R367" s="821"/>
      <c r="S367" s="821"/>
      <c r="T367" s="821"/>
      <c r="U367" s="821"/>
      <c r="V367" s="821"/>
      <c r="W367" s="821"/>
      <c r="X367" s="821"/>
      <c r="Y367" s="821"/>
      <c r="Z367" s="821"/>
      <c r="AA367" s="821"/>
      <c r="AB367" s="821"/>
      <c r="AC367" s="821"/>
      <c r="AD367" s="821"/>
      <c r="AE367" s="821"/>
      <c r="AF367" s="821"/>
      <c r="AG367" s="821"/>
    </row>
    <row r="368" spans="1:33" s="822" customFormat="1" x14ac:dyDescent="0.2">
      <c r="A368" s="352">
        <f>IF(F368&lt;&gt;"",1+MAX($A$6:A367),"")</f>
        <v>282</v>
      </c>
      <c r="B368" s="367" t="s">
        <v>817</v>
      </c>
      <c r="C368" s="361"/>
      <c r="D368" s="361"/>
      <c r="E368" s="373" t="s">
        <v>821</v>
      </c>
      <c r="F368" s="738">
        <v>4</v>
      </c>
      <c r="G368" s="772">
        <v>0</v>
      </c>
      <c r="H368" s="128">
        <f t="shared" si="147"/>
        <v>4</v>
      </c>
      <c r="I368" s="129" t="s">
        <v>20</v>
      </c>
      <c r="J368" s="817">
        <v>0</v>
      </c>
      <c r="K368" s="437">
        <f t="shared" si="148"/>
        <v>0</v>
      </c>
      <c r="L368" s="388"/>
      <c r="M368" s="821"/>
      <c r="N368" s="821"/>
      <c r="O368" s="821"/>
      <c r="P368" s="821"/>
      <c r="Q368" s="821"/>
      <c r="R368" s="821"/>
      <c r="S368" s="821"/>
      <c r="T368" s="821"/>
      <c r="U368" s="821"/>
      <c r="V368" s="821"/>
      <c r="W368" s="821"/>
      <c r="X368" s="821"/>
      <c r="Y368" s="821"/>
      <c r="Z368" s="821"/>
      <c r="AA368" s="821"/>
      <c r="AB368" s="821"/>
      <c r="AC368" s="821"/>
      <c r="AD368" s="821"/>
      <c r="AE368" s="821"/>
      <c r="AF368" s="821"/>
      <c r="AG368" s="821"/>
    </row>
    <row r="369" spans="1:33" s="822" customFormat="1" x14ac:dyDescent="0.2">
      <c r="A369" s="352">
        <f>IF(F369&lt;&gt;"",1+MAX($A$6:A368),"")</f>
        <v>283</v>
      </c>
      <c r="B369" s="367" t="s">
        <v>817</v>
      </c>
      <c r="C369" s="364"/>
      <c r="D369" s="368"/>
      <c r="E369" s="125" t="s">
        <v>822</v>
      </c>
      <c r="F369" s="738">
        <v>1</v>
      </c>
      <c r="G369" s="772">
        <v>0</v>
      </c>
      <c r="H369" s="128">
        <f t="shared" si="147"/>
        <v>1</v>
      </c>
      <c r="I369" s="129" t="s">
        <v>20</v>
      </c>
      <c r="J369" s="817">
        <v>0</v>
      </c>
      <c r="K369" s="437">
        <f t="shared" si="148"/>
        <v>0</v>
      </c>
      <c r="L369" s="388"/>
      <c r="M369" s="821"/>
      <c r="N369" s="821"/>
      <c r="O369" s="821"/>
      <c r="P369" s="821"/>
      <c r="Q369" s="821"/>
      <c r="R369" s="821"/>
      <c r="S369" s="821"/>
      <c r="T369" s="821"/>
      <c r="U369" s="821"/>
      <c r="V369" s="821"/>
      <c r="W369" s="821"/>
      <c r="X369" s="821"/>
      <c r="Y369" s="821"/>
      <c r="Z369" s="821"/>
      <c r="AA369" s="821"/>
      <c r="AB369" s="821"/>
      <c r="AC369" s="821"/>
      <c r="AD369" s="821"/>
      <c r="AE369" s="821"/>
      <c r="AF369" s="821"/>
      <c r="AG369" s="821"/>
    </row>
    <row r="370" spans="1:33" s="822" customFormat="1" x14ac:dyDescent="0.2">
      <c r="A370" s="352">
        <f>IF(F370&lt;&gt;"",1+MAX($A$6:A369),"")</f>
        <v>284</v>
      </c>
      <c r="B370" s="367" t="s">
        <v>817</v>
      </c>
      <c r="C370" s="364"/>
      <c r="D370" s="368"/>
      <c r="E370" s="125" t="s">
        <v>823</v>
      </c>
      <c r="F370" s="738">
        <v>1</v>
      </c>
      <c r="G370" s="772">
        <v>0</v>
      </c>
      <c r="H370" s="128">
        <f t="shared" si="147"/>
        <v>1</v>
      </c>
      <c r="I370" s="129" t="s">
        <v>20</v>
      </c>
      <c r="J370" s="817">
        <v>0</v>
      </c>
      <c r="K370" s="437">
        <f t="shared" si="148"/>
        <v>0</v>
      </c>
      <c r="L370" s="388"/>
      <c r="M370" s="821"/>
      <c r="N370" s="821"/>
      <c r="O370" s="821"/>
      <c r="P370" s="821"/>
      <c r="Q370" s="821"/>
      <c r="R370" s="821"/>
      <c r="S370" s="821"/>
      <c r="T370" s="821"/>
      <c r="U370" s="821"/>
      <c r="V370" s="821"/>
      <c r="W370" s="821"/>
      <c r="X370" s="821"/>
      <c r="Y370" s="821"/>
      <c r="Z370" s="821"/>
      <c r="AA370" s="821"/>
      <c r="AB370" s="821"/>
      <c r="AC370" s="821"/>
      <c r="AD370" s="821"/>
      <c r="AE370" s="821"/>
      <c r="AF370" s="821"/>
      <c r="AG370" s="821"/>
    </row>
    <row r="371" spans="1:33" s="822" customFormat="1" x14ac:dyDescent="0.2">
      <c r="A371" s="352">
        <f>IF(F371&lt;&gt;"",1+MAX($A$6:A370),"")</f>
        <v>285</v>
      </c>
      <c r="B371" s="367" t="s">
        <v>817</v>
      </c>
      <c r="C371" s="361"/>
      <c r="D371" s="361"/>
      <c r="E371" s="373" t="s">
        <v>824</v>
      </c>
      <c r="F371" s="738">
        <v>6</v>
      </c>
      <c r="G371" s="772">
        <v>0</v>
      </c>
      <c r="H371" s="128">
        <f t="shared" si="147"/>
        <v>6</v>
      </c>
      <c r="I371" s="129" t="s">
        <v>20</v>
      </c>
      <c r="J371" s="817">
        <v>0</v>
      </c>
      <c r="K371" s="437">
        <f t="shared" si="148"/>
        <v>0</v>
      </c>
      <c r="L371" s="388"/>
      <c r="M371" s="821"/>
      <c r="N371" s="821"/>
      <c r="O371" s="821"/>
      <c r="P371" s="821"/>
      <c r="Q371" s="821"/>
      <c r="R371" s="821"/>
      <c r="S371" s="821"/>
      <c r="T371" s="821"/>
      <c r="U371" s="821"/>
      <c r="V371" s="821"/>
      <c r="W371" s="821"/>
      <c r="X371" s="821"/>
      <c r="Y371" s="821"/>
      <c r="Z371" s="821"/>
      <c r="AA371" s="821"/>
      <c r="AB371" s="821"/>
      <c r="AC371" s="821"/>
      <c r="AD371" s="821"/>
      <c r="AE371" s="821"/>
      <c r="AF371" s="821"/>
      <c r="AG371" s="821"/>
    </row>
    <row r="372" spans="1:33" s="822" customFormat="1" x14ac:dyDescent="0.2">
      <c r="A372" s="352">
        <f>IF(F372&lt;&gt;"",1+MAX($A$6:A371),"")</f>
        <v>286</v>
      </c>
      <c r="B372" s="367" t="s">
        <v>817</v>
      </c>
      <c r="C372" s="361"/>
      <c r="D372" s="361"/>
      <c r="E372" s="373" t="s">
        <v>825</v>
      </c>
      <c r="F372" s="738">
        <v>169</v>
      </c>
      <c r="G372" s="772">
        <v>0</v>
      </c>
      <c r="H372" s="128">
        <f t="shared" si="147"/>
        <v>169</v>
      </c>
      <c r="I372" s="129" t="s">
        <v>20</v>
      </c>
      <c r="J372" s="817">
        <v>0</v>
      </c>
      <c r="K372" s="437">
        <f t="shared" si="148"/>
        <v>0</v>
      </c>
      <c r="L372" s="388"/>
      <c r="M372" s="821"/>
      <c r="N372" s="821"/>
      <c r="O372" s="821"/>
      <c r="P372" s="821"/>
      <c r="Q372" s="821"/>
      <c r="R372" s="821"/>
      <c r="S372" s="821"/>
      <c r="T372" s="821"/>
      <c r="U372" s="821"/>
      <c r="V372" s="821"/>
      <c r="W372" s="821"/>
      <c r="X372" s="821"/>
      <c r="Y372" s="821"/>
      <c r="Z372" s="821"/>
      <c r="AA372" s="821"/>
      <c r="AB372" s="821"/>
      <c r="AC372" s="821"/>
      <c r="AD372" s="821"/>
      <c r="AE372" s="821"/>
      <c r="AF372" s="821"/>
      <c r="AG372" s="821"/>
    </row>
    <row r="373" spans="1:33" s="822" customFormat="1" ht="31.5" x14ac:dyDescent="0.2">
      <c r="A373" s="352">
        <f>IF(F373&lt;&gt;"",1+MAX($A$6:A372),"")</f>
        <v>287</v>
      </c>
      <c r="B373" s="367" t="s">
        <v>817</v>
      </c>
      <c r="C373" s="364"/>
      <c r="D373" s="368"/>
      <c r="E373" s="125" t="s">
        <v>826</v>
      </c>
      <c r="F373" s="738">
        <v>10</v>
      </c>
      <c r="G373" s="772">
        <v>0</v>
      </c>
      <c r="H373" s="128">
        <f t="shared" si="147"/>
        <v>10</v>
      </c>
      <c r="I373" s="129" t="s">
        <v>20</v>
      </c>
      <c r="J373" s="817">
        <v>0</v>
      </c>
      <c r="K373" s="437">
        <f t="shared" si="148"/>
        <v>0</v>
      </c>
      <c r="L373" s="388"/>
      <c r="M373" s="821"/>
      <c r="N373" s="821"/>
      <c r="O373" s="821"/>
      <c r="P373" s="821"/>
      <c r="Q373" s="821"/>
      <c r="R373" s="821"/>
      <c r="S373" s="821"/>
      <c r="T373" s="821"/>
      <c r="U373" s="821"/>
      <c r="V373" s="821"/>
      <c r="W373" s="821"/>
      <c r="X373" s="821"/>
      <c r="Y373" s="821"/>
      <c r="Z373" s="821"/>
      <c r="AA373" s="821"/>
      <c r="AB373" s="821"/>
      <c r="AC373" s="821"/>
      <c r="AD373" s="821"/>
      <c r="AE373" s="821"/>
      <c r="AF373" s="821"/>
      <c r="AG373" s="821"/>
    </row>
    <row r="374" spans="1:33" s="822" customFormat="1" ht="31.5" x14ac:dyDescent="0.2">
      <c r="A374" s="352">
        <f>IF(F374&lt;&gt;"",1+MAX($A$6:A373),"")</f>
        <v>288</v>
      </c>
      <c r="B374" s="367" t="s">
        <v>817</v>
      </c>
      <c r="C374" s="364"/>
      <c r="D374" s="368"/>
      <c r="E374" s="125" t="s">
        <v>827</v>
      </c>
      <c r="F374" s="738">
        <v>13</v>
      </c>
      <c r="G374" s="772">
        <v>0</v>
      </c>
      <c r="H374" s="128">
        <f t="shared" si="147"/>
        <v>13</v>
      </c>
      <c r="I374" s="129" t="s">
        <v>20</v>
      </c>
      <c r="J374" s="817">
        <v>0</v>
      </c>
      <c r="K374" s="437">
        <f t="shared" si="148"/>
        <v>0</v>
      </c>
      <c r="L374" s="388"/>
      <c r="M374" s="821"/>
      <c r="N374" s="821"/>
      <c r="O374" s="821"/>
      <c r="P374" s="821"/>
      <c r="Q374" s="821"/>
      <c r="R374" s="821"/>
      <c r="S374" s="821"/>
      <c r="T374" s="821"/>
      <c r="U374" s="821"/>
      <c r="V374" s="821"/>
      <c r="W374" s="821"/>
      <c r="X374" s="821"/>
      <c r="Y374" s="821"/>
      <c r="Z374" s="821"/>
      <c r="AA374" s="821"/>
      <c r="AB374" s="821"/>
      <c r="AC374" s="821"/>
      <c r="AD374" s="821"/>
      <c r="AE374" s="821"/>
      <c r="AF374" s="821"/>
      <c r="AG374" s="821"/>
    </row>
    <row r="375" spans="1:33" s="822" customFormat="1" ht="47.25" x14ac:dyDescent="0.2">
      <c r="A375" s="352">
        <f>IF(F375&lt;&gt;"",1+MAX($A$6:A374),"")</f>
        <v>289</v>
      </c>
      <c r="B375" s="367" t="s">
        <v>817</v>
      </c>
      <c r="C375" s="364"/>
      <c r="D375" s="368"/>
      <c r="E375" s="125" t="s">
        <v>828</v>
      </c>
      <c r="F375" s="738">
        <v>26</v>
      </c>
      <c r="G375" s="772">
        <v>0</v>
      </c>
      <c r="H375" s="128">
        <f t="shared" si="147"/>
        <v>26</v>
      </c>
      <c r="I375" s="129" t="s">
        <v>20</v>
      </c>
      <c r="J375" s="817">
        <v>0</v>
      </c>
      <c r="K375" s="437">
        <f t="shared" si="148"/>
        <v>0</v>
      </c>
      <c r="L375" s="388"/>
      <c r="M375" s="821"/>
      <c r="N375" s="821"/>
      <c r="O375" s="821"/>
      <c r="P375" s="821"/>
      <c r="Q375" s="821"/>
      <c r="R375" s="821"/>
      <c r="S375" s="821"/>
      <c r="T375" s="821"/>
      <c r="U375" s="821"/>
      <c r="V375" s="821"/>
      <c r="W375" s="821"/>
      <c r="X375" s="821"/>
      <c r="Y375" s="821"/>
      <c r="Z375" s="821"/>
      <c r="AA375" s="821"/>
      <c r="AB375" s="821"/>
      <c r="AC375" s="821"/>
      <c r="AD375" s="821"/>
      <c r="AE375" s="821"/>
      <c r="AF375" s="821"/>
      <c r="AG375" s="821"/>
    </row>
    <row r="376" spans="1:33" s="822" customFormat="1" ht="47.25" x14ac:dyDescent="0.2">
      <c r="A376" s="352">
        <f>IF(F376&lt;&gt;"",1+MAX($A$6:A375),"")</f>
        <v>290</v>
      </c>
      <c r="B376" s="367" t="s">
        <v>817</v>
      </c>
      <c r="C376" s="361"/>
      <c r="D376" s="368"/>
      <c r="E376" s="373" t="s">
        <v>829</v>
      </c>
      <c r="F376" s="738">
        <v>2</v>
      </c>
      <c r="G376" s="772">
        <v>0</v>
      </c>
      <c r="H376" s="128">
        <f>F376*(1+G376)</f>
        <v>2</v>
      </c>
      <c r="I376" s="129" t="s">
        <v>20</v>
      </c>
      <c r="J376" s="817">
        <v>0</v>
      </c>
      <c r="K376" s="437">
        <f t="shared" si="148"/>
        <v>0</v>
      </c>
      <c r="L376" s="388"/>
      <c r="M376" s="821"/>
      <c r="N376" s="821"/>
      <c r="O376" s="821"/>
      <c r="P376" s="821"/>
      <c r="Q376" s="821"/>
      <c r="R376" s="821"/>
      <c r="S376" s="821"/>
      <c r="T376" s="821"/>
      <c r="U376" s="821"/>
      <c r="V376" s="821"/>
      <c r="W376" s="821"/>
      <c r="X376" s="821"/>
      <c r="Y376" s="821"/>
      <c r="Z376" s="821"/>
      <c r="AA376" s="821"/>
      <c r="AB376" s="821"/>
      <c r="AC376" s="821"/>
      <c r="AD376" s="821"/>
      <c r="AE376" s="821"/>
      <c r="AF376" s="821"/>
      <c r="AG376" s="821"/>
    </row>
    <row r="377" spans="1:33" s="822" customFormat="1" ht="31.5" x14ac:dyDescent="0.2">
      <c r="A377" s="352">
        <f>IF(F377&lt;&gt;"",1+MAX($A$6:A376),"")</f>
        <v>291</v>
      </c>
      <c r="B377" s="367" t="s">
        <v>817</v>
      </c>
      <c r="C377" s="361"/>
      <c r="D377" s="361"/>
      <c r="E377" s="373" t="s">
        <v>830</v>
      </c>
      <c r="F377" s="738">
        <v>56</v>
      </c>
      <c r="G377" s="772">
        <v>0</v>
      </c>
      <c r="H377" s="128">
        <f t="shared" ref="H377:H386" si="149">F377*(1+G377)</f>
        <v>56</v>
      </c>
      <c r="I377" s="129" t="s">
        <v>20</v>
      </c>
      <c r="J377" s="817">
        <v>0</v>
      </c>
      <c r="K377" s="437">
        <f t="shared" si="148"/>
        <v>0</v>
      </c>
      <c r="L377" s="388"/>
      <c r="M377" s="821"/>
      <c r="N377" s="821"/>
      <c r="O377" s="821"/>
      <c r="P377" s="821"/>
      <c r="Q377" s="821"/>
      <c r="R377" s="821"/>
      <c r="S377" s="821"/>
      <c r="T377" s="821"/>
      <c r="U377" s="821"/>
      <c r="V377" s="821"/>
      <c r="W377" s="821"/>
      <c r="X377" s="821"/>
      <c r="Y377" s="821"/>
      <c r="Z377" s="821"/>
      <c r="AA377" s="821"/>
      <c r="AB377" s="821"/>
      <c r="AC377" s="821"/>
      <c r="AD377" s="821"/>
      <c r="AE377" s="821"/>
      <c r="AF377" s="821"/>
      <c r="AG377" s="821"/>
    </row>
    <row r="378" spans="1:33" s="822" customFormat="1" ht="31.5" x14ac:dyDescent="0.2">
      <c r="A378" s="352">
        <f>IF(F378&lt;&gt;"",1+MAX($A$6:A377),"")</f>
        <v>292</v>
      </c>
      <c r="B378" s="367" t="s">
        <v>817</v>
      </c>
      <c r="C378" s="361"/>
      <c r="D378" s="361"/>
      <c r="E378" s="373" t="s">
        <v>831</v>
      </c>
      <c r="F378" s="738">
        <v>57</v>
      </c>
      <c r="G378" s="772">
        <v>0</v>
      </c>
      <c r="H378" s="128">
        <f t="shared" si="149"/>
        <v>57</v>
      </c>
      <c r="I378" s="129" t="s">
        <v>20</v>
      </c>
      <c r="J378" s="817">
        <v>0</v>
      </c>
      <c r="K378" s="437">
        <f t="shared" si="148"/>
        <v>0</v>
      </c>
      <c r="L378" s="388"/>
      <c r="M378" s="821"/>
      <c r="N378" s="821"/>
      <c r="O378" s="821"/>
      <c r="P378" s="821"/>
      <c r="Q378" s="821"/>
      <c r="R378" s="821"/>
      <c r="S378" s="821"/>
      <c r="T378" s="821"/>
      <c r="U378" s="821"/>
      <c r="V378" s="821"/>
      <c r="W378" s="821"/>
      <c r="X378" s="821"/>
      <c r="Y378" s="821"/>
      <c r="Z378" s="821"/>
      <c r="AA378" s="821"/>
      <c r="AB378" s="821"/>
      <c r="AC378" s="821"/>
      <c r="AD378" s="821"/>
      <c r="AE378" s="821"/>
      <c r="AF378" s="821"/>
      <c r="AG378" s="821"/>
    </row>
    <row r="379" spans="1:33" s="822" customFormat="1" ht="31.5" x14ac:dyDescent="0.2">
      <c r="A379" s="352">
        <f>IF(F379&lt;&gt;"",1+MAX($A$6:A378),"")</f>
        <v>293</v>
      </c>
      <c r="B379" s="367" t="s">
        <v>817</v>
      </c>
      <c r="C379" s="364"/>
      <c r="D379" s="368"/>
      <c r="E379" s="125" t="s">
        <v>832</v>
      </c>
      <c r="F379" s="738">
        <v>23</v>
      </c>
      <c r="G379" s="772">
        <v>0</v>
      </c>
      <c r="H379" s="128">
        <f t="shared" si="149"/>
        <v>23</v>
      </c>
      <c r="I379" s="129" t="s">
        <v>20</v>
      </c>
      <c r="J379" s="817">
        <v>0</v>
      </c>
      <c r="K379" s="437">
        <f t="shared" si="148"/>
        <v>0</v>
      </c>
      <c r="L379" s="388"/>
      <c r="M379" s="821"/>
      <c r="N379" s="821"/>
      <c r="O379" s="821"/>
      <c r="P379" s="821"/>
      <c r="Q379" s="821"/>
      <c r="R379" s="821"/>
      <c r="S379" s="821"/>
      <c r="T379" s="821"/>
      <c r="U379" s="821"/>
      <c r="V379" s="821"/>
      <c r="W379" s="821"/>
      <c r="X379" s="821"/>
      <c r="Y379" s="821"/>
      <c r="Z379" s="821"/>
      <c r="AA379" s="821"/>
      <c r="AB379" s="821"/>
      <c r="AC379" s="821"/>
      <c r="AD379" s="821"/>
      <c r="AE379" s="821"/>
      <c r="AF379" s="821"/>
      <c r="AG379" s="821"/>
    </row>
    <row r="380" spans="1:33" s="822" customFormat="1" ht="31.5" x14ac:dyDescent="0.2">
      <c r="A380" s="352">
        <f>IF(F380&lt;&gt;"",1+MAX($A$6:A379),"")</f>
        <v>294</v>
      </c>
      <c r="B380" s="367" t="s">
        <v>817</v>
      </c>
      <c r="C380" s="364"/>
      <c r="D380" s="368"/>
      <c r="E380" s="125" t="s">
        <v>833</v>
      </c>
      <c r="F380" s="738">
        <v>5</v>
      </c>
      <c r="G380" s="772">
        <v>0</v>
      </c>
      <c r="H380" s="128">
        <f t="shared" si="149"/>
        <v>5</v>
      </c>
      <c r="I380" s="129" t="s">
        <v>20</v>
      </c>
      <c r="J380" s="817">
        <v>0</v>
      </c>
      <c r="K380" s="437">
        <f t="shared" si="148"/>
        <v>0</v>
      </c>
      <c r="L380" s="388"/>
      <c r="M380" s="821"/>
      <c r="N380" s="821"/>
      <c r="O380" s="821"/>
      <c r="P380" s="821"/>
      <c r="Q380" s="821"/>
      <c r="R380" s="821"/>
      <c r="S380" s="821"/>
      <c r="T380" s="821"/>
      <c r="U380" s="821"/>
      <c r="V380" s="821"/>
      <c r="W380" s="821"/>
      <c r="X380" s="821"/>
      <c r="Y380" s="821"/>
      <c r="Z380" s="821"/>
      <c r="AA380" s="821"/>
      <c r="AB380" s="821"/>
      <c r="AC380" s="821"/>
      <c r="AD380" s="821"/>
      <c r="AE380" s="821"/>
      <c r="AF380" s="821"/>
      <c r="AG380" s="821"/>
    </row>
    <row r="381" spans="1:33" s="822" customFormat="1" ht="31.5" x14ac:dyDescent="0.2">
      <c r="A381" s="352">
        <f>IF(F381&lt;&gt;"",1+MAX($A$6:A380),"")</f>
        <v>295</v>
      </c>
      <c r="B381" s="367" t="s">
        <v>817</v>
      </c>
      <c r="C381" s="361"/>
      <c r="D381" s="361"/>
      <c r="E381" s="373" t="s">
        <v>834</v>
      </c>
      <c r="F381" s="738">
        <v>3</v>
      </c>
      <c r="G381" s="772">
        <v>0</v>
      </c>
      <c r="H381" s="128">
        <f t="shared" si="149"/>
        <v>3</v>
      </c>
      <c r="I381" s="129" t="s">
        <v>20</v>
      </c>
      <c r="J381" s="817">
        <v>0</v>
      </c>
      <c r="K381" s="437">
        <f t="shared" si="148"/>
        <v>0</v>
      </c>
      <c r="L381" s="388"/>
      <c r="M381" s="821"/>
      <c r="N381" s="821"/>
      <c r="O381" s="821"/>
      <c r="P381" s="821"/>
      <c r="Q381" s="821"/>
      <c r="R381" s="821"/>
      <c r="S381" s="821"/>
      <c r="T381" s="821"/>
      <c r="U381" s="821"/>
      <c r="V381" s="821"/>
      <c r="W381" s="821"/>
      <c r="X381" s="821"/>
      <c r="Y381" s="821"/>
      <c r="Z381" s="821"/>
      <c r="AA381" s="821"/>
      <c r="AB381" s="821"/>
      <c r="AC381" s="821"/>
      <c r="AD381" s="821"/>
      <c r="AE381" s="821"/>
      <c r="AF381" s="821"/>
      <c r="AG381" s="821"/>
    </row>
    <row r="382" spans="1:33" s="822" customFormat="1" ht="31.5" x14ac:dyDescent="0.2">
      <c r="A382" s="352">
        <f>IF(F382&lt;&gt;"",1+MAX($A$6:A381),"")</f>
        <v>296</v>
      </c>
      <c r="B382" s="367" t="s">
        <v>817</v>
      </c>
      <c r="C382" s="361"/>
      <c r="D382" s="361"/>
      <c r="E382" s="373" t="s">
        <v>835</v>
      </c>
      <c r="F382" s="738">
        <v>18</v>
      </c>
      <c r="G382" s="772">
        <v>0</v>
      </c>
      <c r="H382" s="128">
        <f t="shared" si="149"/>
        <v>18</v>
      </c>
      <c r="I382" s="129" t="s">
        <v>20</v>
      </c>
      <c r="J382" s="817">
        <v>0</v>
      </c>
      <c r="K382" s="437">
        <f t="shared" si="148"/>
        <v>0</v>
      </c>
      <c r="L382" s="388"/>
      <c r="M382" s="821"/>
      <c r="N382" s="821"/>
      <c r="O382" s="821"/>
      <c r="P382" s="821"/>
      <c r="Q382" s="821"/>
      <c r="R382" s="821"/>
      <c r="S382" s="821"/>
      <c r="T382" s="821"/>
      <c r="U382" s="821"/>
      <c r="V382" s="821"/>
      <c r="W382" s="821"/>
      <c r="X382" s="821"/>
      <c r="Y382" s="821"/>
      <c r="Z382" s="821"/>
      <c r="AA382" s="821"/>
      <c r="AB382" s="821"/>
      <c r="AC382" s="821"/>
      <c r="AD382" s="821"/>
      <c r="AE382" s="821"/>
      <c r="AF382" s="821"/>
      <c r="AG382" s="821"/>
    </row>
    <row r="383" spans="1:33" s="822" customFormat="1" ht="31.5" x14ac:dyDescent="0.2">
      <c r="A383" s="352">
        <f>IF(F383&lt;&gt;"",1+MAX($A$6:A382),"")</f>
        <v>297</v>
      </c>
      <c r="B383" s="367" t="s">
        <v>817</v>
      </c>
      <c r="C383" s="361"/>
      <c r="D383" s="361"/>
      <c r="E383" s="373" t="s">
        <v>836</v>
      </c>
      <c r="F383" s="738">
        <v>28</v>
      </c>
      <c r="G383" s="772">
        <v>0</v>
      </c>
      <c r="H383" s="128">
        <f t="shared" si="149"/>
        <v>28</v>
      </c>
      <c r="I383" s="129" t="s">
        <v>20</v>
      </c>
      <c r="J383" s="817">
        <v>0</v>
      </c>
      <c r="K383" s="437">
        <f t="shared" si="148"/>
        <v>0</v>
      </c>
      <c r="L383" s="388"/>
      <c r="M383" s="821"/>
      <c r="N383" s="821"/>
      <c r="O383" s="821"/>
      <c r="P383" s="821"/>
      <c r="Q383" s="821"/>
      <c r="R383" s="821"/>
      <c r="S383" s="821"/>
      <c r="T383" s="821"/>
      <c r="U383" s="821"/>
      <c r="V383" s="821"/>
      <c r="W383" s="821"/>
      <c r="X383" s="821"/>
      <c r="Y383" s="821"/>
      <c r="Z383" s="821"/>
      <c r="AA383" s="821"/>
      <c r="AB383" s="821"/>
      <c r="AC383" s="821"/>
      <c r="AD383" s="821"/>
      <c r="AE383" s="821"/>
      <c r="AF383" s="821"/>
      <c r="AG383" s="821"/>
    </row>
    <row r="384" spans="1:33" s="822" customFormat="1" ht="31.5" x14ac:dyDescent="0.2">
      <c r="A384" s="352">
        <f>IF(F384&lt;&gt;"",1+MAX($A$6:A383),"")</f>
        <v>298</v>
      </c>
      <c r="B384" s="367" t="s">
        <v>817</v>
      </c>
      <c r="C384" s="364"/>
      <c r="D384" s="368"/>
      <c r="E384" s="125" t="s">
        <v>837</v>
      </c>
      <c r="F384" s="738">
        <v>34</v>
      </c>
      <c r="G384" s="772">
        <v>0</v>
      </c>
      <c r="H384" s="128">
        <f t="shared" si="149"/>
        <v>34</v>
      </c>
      <c r="I384" s="129" t="s">
        <v>20</v>
      </c>
      <c r="J384" s="817">
        <v>0</v>
      </c>
      <c r="K384" s="437">
        <f t="shared" si="148"/>
        <v>0</v>
      </c>
      <c r="L384" s="388"/>
      <c r="M384" s="821"/>
      <c r="N384" s="821"/>
      <c r="O384" s="821"/>
      <c r="P384" s="821"/>
      <c r="Q384" s="821"/>
      <c r="R384" s="821"/>
      <c r="S384" s="821"/>
      <c r="T384" s="821"/>
      <c r="U384" s="821"/>
      <c r="V384" s="821"/>
      <c r="W384" s="821"/>
      <c r="X384" s="821"/>
      <c r="Y384" s="821"/>
      <c r="Z384" s="821"/>
      <c r="AA384" s="821"/>
      <c r="AB384" s="821"/>
      <c r="AC384" s="821"/>
      <c r="AD384" s="821"/>
      <c r="AE384" s="821"/>
      <c r="AF384" s="821"/>
      <c r="AG384" s="821"/>
    </row>
    <row r="385" spans="1:33" s="822" customFormat="1" ht="31.5" x14ac:dyDescent="0.2">
      <c r="A385" s="352">
        <f>IF(F385&lt;&gt;"",1+MAX($A$6:A384),"")</f>
        <v>299</v>
      </c>
      <c r="B385" s="367" t="s">
        <v>817</v>
      </c>
      <c r="C385" s="364"/>
      <c r="D385" s="368"/>
      <c r="E385" s="373" t="s">
        <v>838</v>
      </c>
      <c r="F385" s="738">
        <v>4</v>
      </c>
      <c r="G385" s="772">
        <v>0</v>
      </c>
      <c r="H385" s="128">
        <f t="shared" si="149"/>
        <v>4</v>
      </c>
      <c r="I385" s="129" t="s">
        <v>20</v>
      </c>
      <c r="J385" s="817">
        <v>0</v>
      </c>
      <c r="K385" s="437">
        <f t="shared" si="148"/>
        <v>0</v>
      </c>
      <c r="L385" s="388"/>
      <c r="M385" s="821"/>
      <c r="N385" s="821"/>
      <c r="O385" s="821"/>
      <c r="P385" s="821"/>
      <c r="Q385" s="821"/>
      <c r="R385" s="821"/>
      <c r="S385" s="821"/>
      <c r="T385" s="821"/>
      <c r="U385" s="821"/>
      <c r="V385" s="821"/>
      <c r="W385" s="821"/>
      <c r="X385" s="821"/>
      <c r="Y385" s="821"/>
      <c r="Z385" s="821"/>
      <c r="AA385" s="821"/>
      <c r="AB385" s="821"/>
      <c r="AC385" s="821"/>
      <c r="AD385" s="821"/>
      <c r="AE385" s="821"/>
      <c r="AF385" s="821"/>
      <c r="AG385" s="821"/>
    </row>
    <row r="386" spans="1:33" s="822" customFormat="1" ht="31.5" x14ac:dyDescent="0.2">
      <c r="A386" s="352">
        <f>IF(F386&lt;&gt;"",1+MAX($A$6:A385),"")</f>
        <v>300</v>
      </c>
      <c r="B386" s="367" t="s">
        <v>817</v>
      </c>
      <c r="C386" s="364"/>
      <c r="D386" s="368"/>
      <c r="E386" s="125" t="s">
        <v>839</v>
      </c>
      <c r="F386" s="738">
        <v>2</v>
      </c>
      <c r="G386" s="772">
        <v>0</v>
      </c>
      <c r="H386" s="128">
        <f t="shared" si="149"/>
        <v>2</v>
      </c>
      <c r="I386" s="129" t="s">
        <v>20</v>
      </c>
      <c r="J386" s="817">
        <v>0</v>
      </c>
      <c r="K386" s="437">
        <f t="shared" si="148"/>
        <v>0</v>
      </c>
      <c r="L386" s="388"/>
      <c r="M386" s="821"/>
      <c r="N386" s="821"/>
      <c r="O386" s="821"/>
      <c r="P386" s="821"/>
      <c r="Q386" s="821"/>
      <c r="R386" s="821"/>
      <c r="S386" s="821"/>
      <c r="T386" s="821"/>
      <c r="U386" s="821"/>
      <c r="V386" s="821"/>
      <c r="W386" s="821"/>
      <c r="X386" s="821"/>
      <c r="Y386" s="821"/>
      <c r="Z386" s="821"/>
      <c r="AA386" s="821"/>
      <c r="AB386" s="821"/>
      <c r="AC386" s="821"/>
      <c r="AD386" s="821"/>
      <c r="AE386" s="821"/>
      <c r="AF386" s="821"/>
      <c r="AG386" s="821"/>
    </row>
    <row r="387" spans="1:33" s="822" customFormat="1" ht="31.5" x14ac:dyDescent="0.2">
      <c r="A387" s="352">
        <f>IF(F387&lt;&gt;"",1+MAX($A$6:A386),"")</f>
        <v>301</v>
      </c>
      <c r="B387" s="367" t="s">
        <v>817</v>
      </c>
      <c r="C387" s="361"/>
      <c r="D387" s="368"/>
      <c r="E387" s="373" t="s">
        <v>840</v>
      </c>
      <c r="F387" s="738">
        <v>63</v>
      </c>
      <c r="G387" s="772">
        <v>0</v>
      </c>
      <c r="H387" s="128">
        <f>F387*(1+G387)</f>
        <v>63</v>
      </c>
      <c r="I387" s="129" t="s">
        <v>20</v>
      </c>
      <c r="J387" s="817">
        <v>0</v>
      </c>
      <c r="K387" s="437">
        <f t="shared" si="148"/>
        <v>0</v>
      </c>
      <c r="L387" s="388"/>
      <c r="M387" s="821"/>
      <c r="N387" s="821"/>
      <c r="O387" s="821"/>
      <c r="P387" s="821"/>
      <c r="Q387" s="821"/>
      <c r="R387" s="821"/>
      <c r="S387" s="821"/>
      <c r="T387" s="821"/>
      <c r="U387" s="821"/>
      <c r="V387" s="821"/>
      <c r="W387" s="821"/>
      <c r="X387" s="821"/>
      <c r="Y387" s="821"/>
      <c r="Z387" s="821"/>
      <c r="AA387" s="821"/>
      <c r="AB387" s="821"/>
      <c r="AC387" s="821"/>
      <c r="AD387" s="821"/>
      <c r="AE387" s="821"/>
      <c r="AF387" s="821"/>
      <c r="AG387" s="821"/>
    </row>
    <row r="388" spans="1:33" s="822" customFormat="1" ht="47.25" x14ac:dyDescent="0.2">
      <c r="A388" s="352">
        <f>IF(F388&lt;&gt;"",1+MAX($A$6:A387),"")</f>
        <v>302</v>
      </c>
      <c r="B388" s="367" t="s">
        <v>817</v>
      </c>
      <c r="C388" s="364"/>
      <c r="D388" s="368"/>
      <c r="E388" s="125" t="s">
        <v>841</v>
      </c>
      <c r="F388" s="738">
        <v>12</v>
      </c>
      <c r="G388" s="772">
        <v>0</v>
      </c>
      <c r="H388" s="128">
        <f t="shared" ref="H388:H390" si="150">F388*(1+G388)</f>
        <v>12</v>
      </c>
      <c r="I388" s="129" t="s">
        <v>20</v>
      </c>
      <c r="J388" s="817">
        <v>0</v>
      </c>
      <c r="K388" s="437">
        <f t="shared" si="148"/>
        <v>0</v>
      </c>
      <c r="L388" s="388"/>
      <c r="M388" s="821"/>
      <c r="N388" s="821"/>
      <c r="O388" s="821"/>
      <c r="P388" s="821"/>
      <c r="Q388" s="821"/>
      <c r="R388" s="821"/>
      <c r="S388" s="821"/>
      <c r="T388" s="821"/>
      <c r="U388" s="821"/>
      <c r="V388" s="821"/>
      <c r="W388" s="821"/>
      <c r="X388" s="821"/>
      <c r="Y388" s="821"/>
      <c r="Z388" s="821"/>
      <c r="AA388" s="821"/>
      <c r="AB388" s="821"/>
      <c r="AC388" s="821"/>
      <c r="AD388" s="821"/>
      <c r="AE388" s="821"/>
      <c r="AF388" s="821"/>
      <c r="AG388" s="821"/>
    </row>
    <row r="389" spans="1:33" s="822" customFormat="1" ht="63" x14ac:dyDescent="0.2">
      <c r="A389" s="352">
        <f>IF(F389&lt;&gt;"",1+MAX($A$6:A388),"")</f>
        <v>303</v>
      </c>
      <c r="B389" s="367" t="s">
        <v>817</v>
      </c>
      <c r="C389" s="364"/>
      <c r="D389" s="368"/>
      <c r="E389" s="125" t="s">
        <v>842</v>
      </c>
      <c r="F389" s="738">
        <v>26</v>
      </c>
      <c r="G389" s="772">
        <v>0</v>
      </c>
      <c r="H389" s="128">
        <f t="shared" si="150"/>
        <v>26</v>
      </c>
      <c r="I389" s="129" t="s">
        <v>20</v>
      </c>
      <c r="J389" s="817">
        <v>0</v>
      </c>
      <c r="K389" s="437">
        <f t="shared" si="148"/>
        <v>0</v>
      </c>
      <c r="L389" s="388"/>
      <c r="M389" s="821"/>
      <c r="N389" s="821"/>
      <c r="O389" s="821"/>
      <c r="P389" s="821"/>
      <c r="Q389" s="821"/>
      <c r="R389" s="821"/>
      <c r="S389" s="821"/>
      <c r="T389" s="821"/>
      <c r="U389" s="821"/>
      <c r="V389" s="821"/>
      <c r="W389" s="821"/>
      <c r="X389" s="821"/>
      <c r="Y389" s="821"/>
      <c r="Z389" s="821"/>
      <c r="AA389" s="821"/>
      <c r="AB389" s="821"/>
      <c r="AC389" s="821"/>
      <c r="AD389" s="821"/>
      <c r="AE389" s="821"/>
      <c r="AF389" s="821"/>
      <c r="AG389" s="821"/>
    </row>
    <row r="390" spans="1:33" s="822" customFormat="1" ht="63" x14ac:dyDescent="0.2">
      <c r="A390" s="352">
        <f>IF(F390&lt;&gt;"",1+MAX($A$6:A389),"")</f>
        <v>304</v>
      </c>
      <c r="B390" s="367" t="s">
        <v>817</v>
      </c>
      <c r="C390" s="364"/>
      <c r="D390" s="368"/>
      <c r="E390" s="125" t="s">
        <v>843</v>
      </c>
      <c r="F390" s="738">
        <v>1</v>
      </c>
      <c r="G390" s="772">
        <v>0</v>
      </c>
      <c r="H390" s="128">
        <f t="shared" si="150"/>
        <v>1</v>
      </c>
      <c r="I390" s="129" t="s">
        <v>20</v>
      </c>
      <c r="J390" s="817">
        <v>0</v>
      </c>
      <c r="K390" s="437">
        <f t="shared" si="148"/>
        <v>0</v>
      </c>
      <c r="L390" s="388"/>
      <c r="M390" s="821"/>
      <c r="N390" s="821"/>
      <c r="O390" s="821"/>
      <c r="P390" s="821"/>
      <c r="Q390" s="821"/>
      <c r="R390" s="821"/>
      <c r="S390" s="821"/>
      <c r="T390" s="821"/>
      <c r="U390" s="821"/>
      <c r="V390" s="821"/>
      <c r="W390" s="821"/>
      <c r="X390" s="821"/>
      <c r="Y390" s="821"/>
      <c r="Z390" s="821"/>
      <c r="AA390" s="821"/>
      <c r="AB390" s="821"/>
      <c r="AC390" s="821"/>
      <c r="AD390" s="821"/>
      <c r="AE390" s="821"/>
      <c r="AF390" s="821"/>
      <c r="AG390" s="821"/>
    </row>
    <row r="391" spans="1:33" s="822" customFormat="1" ht="47.25" x14ac:dyDescent="0.2">
      <c r="A391" s="352">
        <f>IF(F391&lt;&gt;"",1+MAX($A$6:A390),"")</f>
        <v>305</v>
      </c>
      <c r="B391" s="367" t="s">
        <v>817</v>
      </c>
      <c r="C391" s="361"/>
      <c r="D391" s="368"/>
      <c r="E391" s="125" t="s">
        <v>844</v>
      </c>
      <c r="F391" s="738">
        <v>13</v>
      </c>
      <c r="G391" s="772">
        <v>0</v>
      </c>
      <c r="H391" s="128">
        <f>F391*(1+G391)</f>
        <v>13</v>
      </c>
      <c r="I391" s="129" t="s">
        <v>20</v>
      </c>
      <c r="J391" s="817">
        <v>0</v>
      </c>
      <c r="K391" s="437">
        <f t="shared" si="148"/>
        <v>0</v>
      </c>
      <c r="L391" s="388"/>
      <c r="M391" s="821"/>
      <c r="N391" s="821"/>
      <c r="O391" s="821"/>
      <c r="P391" s="821"/>
      <c r="Q391" s="821"/>
      <c r="R391" s="821"/>
      <c r="S391" s="821"/>
      <c r="T391" s="821"/>
      <c r="U391" s="821"/>
      <c r="V391" s="821"/>
      <c r="W391" s="821"/>
      <c r="X391" s="821"/>
      <c r="Y391" s="821"/>
      <c r="Z391" s="821"/>
      <c r="AA391" s="821"/>
      <c r="AB391" s="821"/>
      <c r="AC391" s="821"/>
      <c r="AD391" s="821"/>
      <c r="AE391" s="821"/>
      <c r="AF391" s="821"/>
      <c r="AG391" s="821"/>
    </row>
    <row r="392" spans="1:33" s="822" customFormat="1" ht="31.5" x14ac:dyDescent="0.2">
      <c r="A392" s="352">
        <f>IF(F392&lt;&gt;"",1+MAX($A$6:A391),"")</f>
        <v>306</v>
      </c>
      <c r="B392" s="367" t="s">
        <v>817</v>
      </c>
      <c r="C392" s="361"/>
      <c r="D392" s="361"/>
      <c r="E392" s="373" t="s">
        <v>845</v>
      </c>
      <c r="F392" s="738">
        <v>2</v>
      </c>
      <c r="G392" s="772">
        <v>0</v>
      </c>
      <c r="H392" s="128">
        <f t="shared" ref="H392:H393" si="151">F392*(1+G392)</f>
        <v>2</v>
      </c>
      <c r="I392" s="129" t="s">
        <v>20</v>
      </c>
      <c r="J392" s="817">
        <v>0</v>
      </c>
      <c r="K392" s="437">
        <f t="shared" si="148"/>
        <v>0</v>
      </c>
      <c r="L392" s="388"/>
      <c r="M392" s="821"/>
      <c r="N392" s="821"/>
      <c r="O392" s="821"/>
      <c r="P392" s="821"/>
      <c r="Q392" s="821"/>
      <c r="R392" s="821"/>
      <c r="S392" s="821"/>
      <c r="T392" s="821"/>
      <c r="U392" s="821"/>
      <c r="V392" s="821"/>
      <c r="W392" s="821"/>
      <c r="X392" s="821"/>
      <c r="Y392" s="821"/>
      <c r="Z392" s="821"/>
      <c r="AA392" s="821"/>
      <c r="AB392" s="821"/>
      <c r="AC392" s="821"/>
      <c r="AD392" s="821"/>
      <c r="AE392" s="821"/>
      <c r="AF392" s="821"/>
      <c r="AG392" s="821"/>
    </row>
    <row r="393" spans="1:33" s="822" customFormat="1" ht="47.25" x14ac:dyDescent="0.2">
      <c r="A393" s="352">
        <f>IF(F393&lt;&gt;"",1+MAX($A$6:A392),"")</f>
        <v>307</v>
      </c>
      <c r="B393" s="367" t="s">
        <v>817</v>
      </c>
      <c r="C393" s="364"/>
      <c r="D393" s="368"/>
      <c r="E393" s="125" t="s">
        <v>846</v>
      </c>
      <c r="F393" s="738">
        <f>15+445</f>
        <v>460</v>
      </c>
      <c r="G393" s="772">
        <v>0</v>
      </c>
      <c r="H393" s="128">
        <f t="shared" si="151"/>
        <v>460</v>
      </c>
      <c r="I393" s="129" t="s">
        <v>20</v>
      </c>
      <c r="J393" s="817">
        <v>0</v>
      </c>
      <c r="K393" s="437">
        <f t="shared" si="148"/>
        <v>0</v>
      </c>
      <c r="L393" s="388"/>
      <c r="M393" s="821"/>
      <c r="N393" s="821"/>
      <c r="O393" s="821"/>
      <c r="P393" s="821"/>
      <c r="Q393" s="821"/>
      <c r="R393" s="821"/>
      <c r="S393" s="821"/>
      <c r="T393" s="821"/>
      <c r="U393" s="821"/>
      <c r="V393" s="821"/>
      <c r="W393" s="821"/>
      <c r="X393" s="821"/>
      <c r="Y393" s="821"/>
      <c r="Z393" s="821"/>
      <c r="AA393" s="821"/>
      <c r="AB393" s="821"/>
      <c r="AC393" s="821"/>
      <c r="AD393" s="821"/>
      <c r="AE393" s="821"/>
      <c r="AF393" s="821"/>
      <c r="AG393" s="821"/>
    </row>
    <row r="394" spans="1:33" s="822" customFormat="1" ht="31.5" x14ac:dyDescent="0.2">
      <c r="A394" s="352">
        <f>IF(F394&lt;&gt;"",1+MAX($A$6:A393),"")</f>
        <v>308</v>
      </c>
      <c r="B394" s="367" t="s">
        <v>817</v>
      </c>
      <c r="C394" s="361"/>
      <c r="D394" s="368"/>
      <c r="E394" s="373" t="s">
        <v>847</v>
      </c>
      <c r="F394" s="738">
        <f>7+175</f>
        <v>182</v>
      </c>
      <c r="G394" s="772">
        <v>0</v>
      </c>
      <c r="H394" s="128">
        <f>F394*(1+G394)</f>
        <v>182</v>
      </c>
      <c r="I394" s="129" t="s">
        <v>20</v>
      </c>
      <c r="J394" s="817">
        <v>0</v>
      </c>
      <c r="K394" s="437">
        <f t="shared" si="148"/>
        <v>0</v>
      </c>
      <c r="L394" s="388"/>
      <c r="M394" s="821"/>
      <c r="N394" s="821"/>
      <c r="O394" s="821"/>
      <c r="P394" s="821"/>
      <c r="Q394" s="821"/>
      <c r="R394" s="821"/>
      <c r="S394" s="821"/>
      <c r="T394" s="821"/>
      <c r="U394" s="821"/>
      <c r="V394" s="821"/>
      <c r="W394" s="821"/>
      <c r="X394" s="821"/>
      <c r="Y394" s="821"/>
      <c r="Z394" s="821"/>
      <c r="AA394" s="821"/>
      <c r="AB394" s="821"/>
      <c r="AC394" s="821"/>
      <c r="AD394" s="821"/>
      <c r="AE394" s="821"/>
      <c r="AF394" s="821"/>
      <c r="AG394" s="821"/>
    </row>
    <row r="395" spans="1:33" s="822" customFormat="1" ht="16.5" thickBot="1" x14ac:dyDescent="0.25">
      <c r="A395" s="352" t="str">
        <f>IF(F395&lt;&gt;"",1+MAX($A$6:A394),"")</f>
        <v/>
      </c>
      <c r="B395" s="823"/>
      <c r="C395" s="823"/>
      <c r="D395" s="824"/>
      <c r="E395" s="825"/>
      <c r="F395" s="826"/>
      <c r="G395" s="827"/>
      <c r="H395" s="828"/>
      <c r="I395" s="829"/>
      <c r="J395" s="389"/>
      <c r="K395" s="390"/>
      <c r="L395" s="388"/>
      <c r="M395" s="821"/>
      <c r="N395" s="821"/>
      <c r="O395" s="821"/>
      <c r="P395" s="821"/>
      <c r="Q395" s="821"/>
      <c r="R395" s="821"/>
      <c r="S395" s="821"/>
      <c r="T395" s="821"/>
      <c r="U395" s="821"/>
      <c r="V395" s="821"/>
      <c r="W395" s="821"/>
      <c r="X395" s="821"/>
      <c r="Y395" s="821"/>
      <c r="Z395" s="821"/>
      <c r="AA395" s="821"/>
      <c r="AB395" s="821"/>
      <c r="AC395" s="821"/>
      <c r="AD395" s="821"/>
      <c r="AE395" s="821"/>
      <c r="AF395" s="821"/>
      <c r="AG395" s="821"/>
    </row>
    <row r="396" spans="1:33" ht="16.5" customHeight="1" thickBot="1" x14ac:dyDescent="0.25">
      <c r="A396" s="352" t="str">
        <f>IF(F396&lt;&gt;"",1+MAX($A$6:A395),"")</f>
        <v/>
      </c>
      <c r="B396" s="123"/>
      <c r="C396" s="364"/>
      <c r="D396" s="365"/>
      <c r="E396" s="366" t="s">
        <v>848</v>
      </c>
      <c r="F396" s="435"/>
      <c r="G396" s="431"/>
      <c r="H396" s="430"/>
      <c r="I396" s="432"/>
      <c r="J396" s="134"/>
      <c r="K396" s="428"/>
      <c r="L396" s="429"/>
      <c r="M396" s="345"/>
      <c r="N396" s="345"/>
      <c r="O396" s="345"/>
      <c r="P396" s="345"/>
      <c r="Q396" s="345"/>
      <c r="R396" s="343"/>
      <c r="S396" s="343"/>
      <c r="T396" s="343"/>
      <c r="U396" s="343"/>
      <c r="V396" s="343"/>
      <c r="W396" s="343"/>
    </row>
    <row r="397" spans="1:33" s="822" customFormat="1" x14ac:dyDescent="0.2">
      <c r="A397" s="352">
        <f>IF(F397&lt;&gt;"",1+MAX($A$6:A396),"")</f>
        <v>309</v>
      </c>
      <c r="B397" s="367" t="s">
        <v>849</v>
      </c>
      <c r="C397" s="364"/>
      <c r="D397" s="372"/>
      <c r="E397" s="125" t="s">
        <v>850</v>
      </c>
      <c r="F397" s="738">
        <v>8</v>
      </c>
      <c r="G397" s="772">
        <v>0</v>
      </c>
      <c r="H397" s="128">
        <f t="shared" ref="H397:H437" si="152">F397*(1+G397)</f>
        <v>8</v>
      </c>
      <c r="I397" s="129" t="s">
        <v>20</v>
      </c>
      <c r="J397" s="817">
        <v>0</v>
      </c>
      <c r="K397" s="437">
        <f t="shared" ref="K397:K437" si="153">J397*H397</f>
        <v>0</v>
      </c>
      <c r="L397" s="388"/>
      <c r="M397" s="821"/>
      <c r="N397" s="821"/>
      <c r="O397" s="821"/>
      <c r="P397" s="821"/>
      <c r="Q397" s="821"/>
      <c r="R397" s="821"/>
      <c r="S397" s="821"/>
      <c r="T397" s="821"/>
      <c r="U397" s="821"/>
      <c r="V397" s="821"/>
      <c r="W397" s="821"/>
      <c r="X397" s="821"/>
      <c r="Y397" s="821"/>
      <c r="Z397" s="821"/>
      <c r="AA397" s="821"/>
      <c r="AB397" s="821"/>
      <c r="AC397" s="821"/>
      <c r="AD397" s="821"/>
      <c r="AE397" s="821"/>
      <c r="AF397" s="821"/>
      <c r="AG397" s="821"/>
    </row>
    <row r="398" spans="1:33" s="822" customFormat="1" x14ac:dyDescent="0.2">
      <c r="A398" s="352">
        <f>IF(F398&lt;&gt;"",1+MAX($A$6:A397),"")</f>
        <v>310</v>
      </c>
      <c r="B398" s="367" t="s">
        <v>849</v>
      </c>
      <c r="C398" s="364"/>
      <c r="D398" s="372"/>
      <c r="E398" s="125" t="s">
        <v>851</v>
      </c>
      <c r="F398" s="738">
        <v>4</v>
      </c>
      <c r="G398" s="772">
        <v>0</v>
      </c>
      <c r="H398" s="128">
        <f t="shared" si="152"/>
        <v>4</v>
      </c>
      <c r="I398" s="129" t="s">
        <v>20</v>
      </c>
      <c r="J398" s="817">
        <v>0</v>
      </c>
      <c r="K398" s="437">
        <f t="shared" si="153"/>
        <v>0</v>
      </c>
      <c r="L398" s="388"/>
      <c r="M398" s="821"/>
      <c r="N398" s="821"/>
      <c r="O398" s="821"/>
      <c r="P398" s="821"/>
      <c r="Q398" s="821"/>
      <c r="R398" s="821"/>
      <c r="S398" s="821"/>
      <c r="T398" s="821"/>
      <c r="U398" s="821"/>
      <c r="V398" s="821"/>
      <c r="W398" s="821"/>
      <c r="X398" s="821"/>
      <c r="Y398" s="821"/>
      <c r="Z398" s="821"/>
      <c r="AA398" s="821"/>
      <c r="AB398" s="821"/>
      <c r="AC398" s="821"/>
      <c r="AD398" s="821"/>
      <c r="AE398" s="821"/>
      <c r="AF398" s="821"/>
      <c r="AG398" s="821"/>
    </row>
    <row r="399" spans="1:33" s="822" customFormat="1" x14ac:dyDescent="0.2">
      <c r="A399" s="352">
        <f>IF(F399&lt;&gt;"",1+MAX($A$6:A398),"")</f>
        <v>311</v>
      </c>
      <c r="B399" s="367" t="s">
        <v>849</v>
      </c>
      <c r="C399" s="364"/>
      <c r="D399" s="372"/>
      <c r="E399" s="125" t="s">
        <v>852</v>
      </c>
      <c r="F399" s="738">
        <v>7</v>
      </c>
      <c r="G399" s="772">
        <v>0</v>
      </c>
      <c r="H399" s="128">
        <f t="shared" si="152"/>
        <v>7</v>
      </c>
      <c r="I399" s="129" t="s">
        <v>20</v>
      </c>
      <c r="J399" s="817">
        <v>0</v>
      </c>
      <c r="K399" s="437">
        <f t="shared" si="153"/>
        <v>0</v>
      </c>
      <c r="L399" s="388"/>
      <c r="M399" s="821"/>
      <c r="N399" s="821"/>
      <c r="O399" s="821"/>
      <c r="P399" s="821"/>
      <c r="Q399" s="821"/>
      <c r="R399" s="821"/>
      <c r="S399" s="821"/>
      <c r="T399" s="821"/>
      <c r="U399" s="821"/>
      <c r="V399" s="821"/>
      <c r="W399" s="821"/>
      <c r="X399" s="821"/>
      <c r="Y399" s="821"/>
      <c r="Z399" s="821"/>
      <c r="AA399" s="821"/>
      <c r="AB399" s="821"/>
      <c r="AC399" s="821"/>
      <c r="AD399" s="821"/>
      <c r="AE399" s="821"/>
      <c r="AF399" s="821"/>
      <c r="AG399" s="821"/>
    </row>
    <row r="400" spans="1:33" s="822" customFormat="1" x14ac:dyDescent="0.2">
      <c r="A400" s="352">
        <f>IF(F400&lt;&gt;"",1+MAX($A$6:A399),"")</f>
        <v>312</v>
      </c>
      <c r="B400" s="367" t="s">
        <v>849</v>
      </c>
      <c r="C400" s="364"/>
      <c r="D400" s="372"/>
      <c r="E400" s="125" t="s">
        <v>853</v>
      </c>
      <c r="F400" s="738">
        <v>1</v>
      </c>
      <c r="G400" s="772">
        <v>0</v>
      </c>
      <c r="H400" s="128">
        <f t="shared" si="152"/>
        <v>1</v>
      </c>
      <c r="I400" s="129" t="s">
        <v>20</v>
      </c>
      <c r="J400" s="817">
        <v>0</v>
      </c>
      <c r="K400" s="437">
        <f t="shared" si="153"/>
        <v>0</v>
      </c>
      <c r="L400" s="388"/>
      <c r="M400" s="821"/>
      <c r="N400" s="821"/>
      <c r="O400" s="821"/>
      <c r="P400" s="821"/>
      <c r="Q400" s="821"/>
      <c r="R400" s="821"/>
      <c r="S400" s="821"/>
      <c r="T400" s="821"/>
      <c r="U400" s="821"/>
      <c r="V400" s="821"/>
      <c r="W400" s="821"/>
      <c r="X400" s="821"/>
      <c r="Y400" s="821"/>
      <c r="Z400" s="821"/>
      <c r="AA400" s="821"/>
      <c r="AB400" s="821"/>
      <c r="AC400" s="821"/>
      <c r="AD400" s="821"/>
      <c r="AE400" s="821"/>
      <c r="AF400" s="821"/>
      <c r="AG400" s="821"/>
    </row>
    <row r="401" spans="1:33" s="822" customFormat="1" x14ac:dyDescent="0.2">
      <c r="A401" s="352">
        <f>IF(F401&lt;&gt;"",1+MAX($A$6:A400),"")</f>
        <v>313</v>
      </c>
      <c r="B401" s="367" t="s">
        <v>849</v>
      </c>
      <c r="C401" s="364"/>
      <c r="D401" s="372"/>
      <c r="E401" s="125" t="s">
        <v>854</v>
      </c>
      <c r="F401" s="738">
        <v>71</v>
      </c>
      <c r="G401" s="772">
        <v>0</v>
      </c>
      <c r="H401" s="128">
        <f t="shared" si="152"/>
        <v>71</v>
      </c>
      <c r="I401" s="129" t="s">
        <v>20</v>
      </c>
      <c r="J401" s="817">
        <v>0</v>
      </c>
      <c r="K401" s="437">
        <f t="shared" si="153"/>
        <v>0</v>
      </c>
      <c r="L401" s="388"/>
      <c r="M401" s="821"/>
      <c r="N401" s="821"/>
      <c r="O401" s="821"/>
      <c r="P401" s="821"/>
      <c r="Q401" s="821"/>
      <c r="R401" s="821"/>
      <c r="S401" s="821"/>
      <c r="T401" s="821"/>
      <c r="U401" s="821"/>
      <c r="V401" s="821"/>
      <c r="W401" s="821"/>
      <c r="X401" s="821"/>
      <c r="Y401" s="821"/>
      <c r="Z401" s="821"/>
      <c r="AA401" s="821"/>
      <c r="AB401" s="821"/>
      <c r="AC401" s="821"/>
      <c r="AD401" s="821"/>
      <c r="AE401" s="821"/>
      <c r="AF401" s="821"/>
      <c r="AG401" s="821"/>
    </row>
    <row r="402" spans="1:33" s="822" customFormat="1" ht="31.5" x14ac:dyDescent="0.2">
      <c r="A402" s="352">
        <f>IF(F402&lt;&gt;"",1+MAX($A$6:A401),"")</f>
        <v>314</v>
      </c>
      <c r="B402" s="367" t="s">
        <v>849</v>
      </c>
      <c r="C402" s="364"/>
      <c r="D402" s="372"/>
      <c r="E402" s="125" t="s">
        <v>855</v>
      </c>
      <c r="F402" s="738">
        <v>1</v>
      </c>
      <c r="G402" s="772">
        <v>0</v>
      </c>
      <c r="H402" s="128">
        <f t="shared" si="152"/>
        <v>1</v>
      </c>
      <c r="I402" s="129" t="s">
        <v>20</v>
      </c>
      <c r="J402" s="817">
        <v>0</v>
      </c>
      <c r="K402" s="437">
        <f t="shared" si="153"/>
        <v>0</v>
      </c>
      <c r="L402" s="388"/>
      <c r="M402" s="821"/>
      <c r="N402" s="821"/>
      <c r="O402" s="821"/>
      <c r="P402" s="821"/>
      <c r="Q402" s="821"/>
      <c r="R402" s="821"/>
      <c r="S402" s="821"/>
      <c r="T402" s="821"/>
      <c r="U402" s="821"/>
      <c r="V402" s="821"/>
      <c r="W402" s="821"/>
      <c r="X402" s="821"/>
      <c r="Y402" s="821"/>
      <c r="Z402" s="821"/>
      <c r="AA402" s="821"/>
      <c r="AB402" s="821"/>
      <c r="AC402" s="821"/>
      <c r="AD402" s="821"/>
      <c r="AE402" s="821"/>
      <c r="AF402" s="821"/>
      <c r="AG402" s="821"/>
    </row>
    <row r="403" spans="1:33" s="822" customFormat="1" x14ac:dyDescent="0.2">
      <c r="A403" s="352">
        <f>IF(F403&lt;&gt;"",1+MAX($A$6:A402),"")</f>
        <v>315</v>
      </c>
      <c r="B403" s="367" t="s">
        <v>849</v>
      </c>
      <c r="C403" s="364"/>
      <c r="D403" s="372"/>
      <c r="E403" s="125" t="s">
        <v>856</v>
      </c>
      <c r="F403" s="738">
        <v>4</v>
      </c>
      <c r="G403" s="772">
        <v>0</v>
      </c>
      <c r="H403" s="128">
        <f t="shared" si="152"/>
        <v>4</v>
      </c>
      <c r="I403" s="129" t="s">
        <v>20</v>
      </c>
      <c r="J403" s="817">
        <v>0</v>
      </c>
      <c r="K403" s="437">
        <f t="shared" si="153"/>
        <v>0</v>
      </c>
      <c r="L403" s="388"/>
      <c r="M403" s="821"/>
      <c r="N403" s="821"/>
      <c r="O403" s="821"/>
      <c r="P403" s="821"/>
      <c r="Q403" s="821"/>
      <c r="R403" s="821"/>
      <c r="S403" s="821"/>
      <c r="T403" s="821"/>
      <c r="U403" s="821"/>
      <c r="V403" s="821"/>
      <c r="W403" s="821"/>
      <c r="X403" s="821"/>
      <c r="Y403" s="821"/>
      <c r="Z403" s="821"/>
      <c r="AA403" s="821"/>
      <c r="AB403" s="821"/>
      <c r="AC403" s="821"/>
      <c r="AD403" s="821"/>
      <c r="AE403" s="821"/>
      <c r="AF403" s="821"/>
      <c r="AG403" s="821"/>
    </row>
    <row r="404" spans="1:33" s="822" customFormat="1" x14ac:dyDescent="0.2">
      <c r="A404" s="352">
        <f>IF(F404&lt;&gt;"",1+MAX($A$6:A403),"")</f>
        <v>316</v>
      </c>
      <c r="B404" s="367" t="s">
        <v>849</v>
      </c>
      <c r="C404" s="364"/>
      <c r="D404" s="372"/>
      <c r="E404" s="125" t="s">
        <v>857</v>
      </c>
      <c r="F404" s="738">
        <v>192</v>
      </c>
      <c r="G404" s="772">
        <v>0</v>
      </c>
      <c r="H404" s="128">
        <f t="shared" si="152"/>
        <v>192</v>
      </c>
      <c r="I404" s="129" t="s">
        <v>20</v>
      </c>
      <c r="J404" s="817">
        <v>0</v>
      </c>
      <c r="K404" s="437">
        <f t="shared" si="153"/>
        <v>0</v>
      </c>
      <c r="L404" s="388"/>
      <c r="M404" s="821"/>
      <c r="N404" s="821"/>
      <c r="O404" s="821"/>
      <c r="P404" s="821"/>
      <c r="Q404" s="821"/>
      <c r="R404" s="821"/>
      <c r="S404" s="821"/>
      <c r="T404" s="821"/>
      <c r="U404" s="821"/>
      <c r="V404" s="821"/>
      <c r="W404" s="821"/>
      <c r="X404" s="821"/>
      <c r="Y404" s="821"/>
      <c r="Z404" s="821"/>
      <c r="AA404" s="821"/>
      <c r="AB404" s="821"/>
      <c r="AC404" s="821"/>
      <c r="AD404" s="821"/>
      <c r="AE404" s="821"/>
      <c r="AF404" s="821"/>
      <c r="AG404" s="821"/>
    </row>
    <row r="405" spans="1:33" s="822" customFormat="1" x14ac:dyDescent="0.2">
      <c r="A405" s="352">
        <f>IF(F405&lt;&gt;"",1+MAX($A$6:A404),"")</f>
        <v>317</v>
      </c>
      <c r="B405" s="367" t="s">
        <v>849</v>
      </c>
      <c r="C405" s="364"/>
      <c r="D405" s="372"/>
      <c r="E405" s="125" t="s">
        <v>858</v>
      </c>
      <c r="F405" s="738">
        <v>180</v>
      </c>
      <c r="G405" s="772">
        <v>0</v>
      </c>
      <c r="H405" s="128">
        <f t="shared" si="152"/>
        <v>180</v>
      </c>
      <c r="I405" s="129" t="s">
        <v>20</v>
      </c>
      <c r="J405" s="817">
        <v>0</v>
      </c>
      <c r="K405" s="437">
        <f t="shared" si="153"/>
        <v>0</v>
      </c>
      <c r="L405" s="388"/>
      <c r="M405" s="821"/>
      <c r="N405" s="821"/>
      <c r="O405" s="821"/>
      <c r="P405" s="821"/>
      <c r="Q405" s="821"/>
      <c r="R405" s="821"/>
      <c r="S405" s="821"/>
      <c r="T405" s="821"/>
      <c r="U405" s="821"/>
      <c r="V405" s="821"/>
      <c r="W405" s="821"/>
      <c r="X405" s="821"/>
      <c r="Y405" s="821"/>
      <c r="Z405" s="821"/>
      <c r="AA405" s="821"/>
      <c r="AB405" s="821"/>
      <c r="AC405" s="821"/>
      <c r="AD405" s="821"/>
      <c r="AE405" s="821"/>
      <c r="AF405" s="821"/>
      <c r="AG405" s="821"/>
    </row>
    <row r="406" spans="1:33" s="822" customFormat="1" x14ac:dyDescent="0.2">
      <c r="A406" s="352">
        <f>IF(F406&lt;&gt;"",1+MAX($A$6:A405),"")</f>
        <v>318</v>
      </c>
      <c r="B406" s="367" t="s">
        <v>849</v>
      </c>
      <c r="C406" s="364"/>
      <c r="D406" s="372"/>
      <c r="E406" s="125" t="s">
        <v>859</v>
      </c>
      <c r="F406" s="738">
        <v>1</v>
      </c>
      <c r="G406" s="772">
        <v>0</v>
      </c>
      <c r="H406" s="128">
        <f t="shared" si="152"/>
        <v>1</v>
      </c>
      <c r="I406" s="129" t="s">
        <v>20</v>
      </c>
      <c r="J406" s="817">
        <v>0</v>
      </c>
      <c r="K406" s="437">
        <f t="shared" si="153"/>
        <v>0</v>
      </c>
      <c r="L406" s="388"/>
      <c r="M406" s="821"/>
      <c r="N406" s="821"/>
      <c r="O406" s="821"/>
      <c r="P406" s="821"/>
      <c r="Q406" s="821"/>
      <c r="R406" s="821"/>
      <c r="S406" s="821"/>
      <c r="T406" s="821"/>
      <c r="U406" s="821"/>
      <c r="V406" s="821"/>
      <c r="W406" s="821"/>
      <c r="X406" s="821"/>
      <c r="Y406" s="821"/>
      <c r="Z406" s="821"/>
      <c r="AA406" s="821"/>
      <c r="AB406" s="821"/>
      <c r="AC406" s="821"/>
      <c r="AD406" s="821"/>
      <c r="AE406" s="821"/>
      <c r="AF406" s="821"/>
      <c r="AG406" s="821"/>
    </row>
    <row r="407" spans="1:33" s="822" customFormat="1" x14ac:dyDescent="0.2">
      <c r="A407" s="352">
        <f>IF(F407&lt;&gt;"",1+MAX($A$6:A406),"")</f>
        <v>319</v>
      </c>
      <c r="B407" s="367" t="s">
        <v>849</v>
      </c>
      <c r="C407" s="364"/>
      <c r="E407" s="125" t="s">
        <v>860</v>
      </c>
      <c r="F407" s="738">
        <v>63</v>
      </c>
      <c r="G407" s="772">
        <v>0</v>
      </c>
      <c r="H407" s="128">
        <f t="shared" si="152"/>
        <v>63</v>
      </c>
      <c r="I407" s="129" t="s">
        <v>20</v>
      </c>
      <c r="J407" s="817">
        <v>0</v>
      </c>
      <c r="K407" s="437">
        <f t="shared" si="153"/>
        <v>0</v>
      </c>
      <c r="L407" s="388"/>
      <c r="M407" s="821"/>
      <c r="N407" s="821"/>
      <c r="O407" s="821"/>
      <c r="P407" s="821"/>
      <c r="Q407" s="821"/>
      <c r="R407" s="821"/>
      <c r="S407" s="821"/>
      <c r="T407" s="821"/>
      <c r="U407" s="821"/>
      <c r="V407" s="821"/>
      <c r="W407" s="821"/>
      <c r="X407" s="821"/>
      <c r="Y407" s="821"/>
      <c r="Z407" s="821"/>
      <c r="AA407" s="821"/>
      <c r="AB407" s="821"/>
      <c r="AC407" s="821"/>
      <c r="AD407" s="821"/>
      <c r="AE407" s="821"/>
      <c r="AF407" s="821"/>
      <c r="AG407" s="821"/>
    </row>
    <row r="408" spans="1:33" s="822" customFormat="1" x14ac:dyDescent="0.2">
      <c r="A408" s="352">
        <f>IF(F408&lt;&gt;"",1+MAX($A$6:A407),"")</f>
        <v>320</v>
      </c>
      <c r="B408" s="367" t="s">
        <v>849</v>
      </c>
      <c r="C408" s="364"/>
      <c r="D408" s="372"/>
      <c r="E408" s="125" t="s">
        <v>861</v>
      </c>
      <c r="F408" s="738">
        <v>63</v>
      </c>
      <c r="G408" s="772">
        <v>0</v>
      </c>
      <c r="H408" s="128">
        <f t="shared" si="152"/>
        <v>63</v>
      </c>
      <c r="I408" s="129" t="s">
        <v>20</v>
      </c>
      <c r="J408" s="817">
        <v>0</v>
      </c>
      <c r="K408" s="437">
        <f t="shared" si="153"/>
        <v>0</v>
      </c>
      <c r="L408" s="388"/>
      <c r="M408" s="821"/>
      <c r="N408" s="821"/>
      <c r="O408" s="821"/>
      <c r="P408" s="821"/>
      <c r="Q408" s="821"/>
      <c r="R408" s="821"/>
      <c r="S408" s="821"/>
      <c r="T408" s="821"/>
      <c r="U408" s="821"/>
      <c r="V408" s="821"/>
      <c r="W408" s="821"/>
      <c r="X408" s="821"/>
      <c r="Y408" s="821"/>
      <c r="Z408" s="821"/>
      <c r="AA408" s="821"/>
      <c r="AB408" s="821"/>
      <c r="AC408" s="821"/>
      <c r="AD408" s="821"/>
      <c r="AE408" s="821"/>
      <c r="AF408" s="821"/>
      <c r="AG408" s="821"/>
    </row>
    <row r="409" spans="1:33" s="822" customFormat="1" x14ac:dyDescent="0.2">
      <c r="A409" s="352">
        <f>IF(F409&lt;&gt;"",1+MAX($A$6:A408),"")</f>
        <v>321</v>
      </c>
      <c r="B409" s="367" t="s">
        <v>849</v>
      </c>
      <c r="C409" s="364"/>
      <c r="D409" s="372"/>
      <c r="E409" s="125" t="s">
        <v>862</v>
      </c>
      <c r="F409" s="738">
        <v>12</v>
      </c>
      <c r="G409" s="772">
        <v>0</v>
      </c>
      <c r="H409" s="128">
        <f t="shared" si="152"/>
        <v>12</v>
      </c>
      <c r="I409" s="129" t="s">
        <v>20</v>
      </c>
      <c r="J409" s="817">
        <v>0</v>
      </c>
      <c r="K409" s="437">
        <f t="shared" si="153"/>
        <v>0</v>
      </c>
      <c r="L409" s="388"/>
      <c r="M409" s="821"/>
      <c r="N409" s="821"/>
      <c r="O409" s="821"/>
      <c r="P409" s="821"/>
      <c r="Q409" s="821"/>
      <c r="R409" s="821"/>
      <c r="S409" s="821"/>
      <c r="T409" s="821"/>
      <c r="U409" s="821"/>
      <c r="V409" s="821"/>
      <c r="W409" s="821"/>
      <c r="X409" s="821"/>
      <c r="Y409" s="821"/>
      <c r="Z409" s="821"/>
      <c r="AA409" s="821"/>
      <c r="AB409" s="821"/>
      <c r="AC409" s="821"/>
      <c r="AD409" s="821"/>
      <c r="AE409" s="821"/>
      <c r="AF409" s="821"/>
      <c r="AG409" s="821"/>
    </row>
    <row r="410" spans="1:33" s="822" customFormat="1" x14ac:dyDescent="0.2">
      <c r="A410" s="352">
        <f>IF(F410&lt;&gt;"",1+MAX($A$6:A409),"")</f>
        <v>322</v>
      </c>
      <c r="B410" s="367" t="s">
        <v>849</v>
      </c>
      <c r="C410" s="364"/>
      <c r="D410" s="372"/>
      <c r="E410" s="125" t="s">
        <v>863</v>
      </c>
      <c r="F410" s="738">
        <v>1326</v>
      </c>
      <c r="G410" s="772">
        <v>0</v>
      </c>
      <c r="H410" s="128">
        <f t="shared" si="152"/>
        <v>1326</v>
      </c>
      <c r="I410" s="129" t="s">
        <v>20</v>
      </c>
      <c r="J410" s="817">
        <v>0</v>
      </c>
      <c r="K410" s="437">
        <f t="shared" si="153"/>
        <v>0</v>
      </c>
      <c r="L410" s="388"/>
      <c r="M410" s="821"/>
      <c r="N410" s="821"/>
      <c r="O410" s="821"/>
      <c r="P410" s="821"/>
      <c r="Q410" s="821"/>
      <c r="R410" s="821"/>
      <c r="S410" s="821"/>
      <c r="T410" s="821"/>
      <c r="U410" s="821"/>
      <c r="V410" s="821"/>
      <c r="W410" s="821"/>
      <c r="X410" s="821"/>
      <c r="Y410" s="821"/>
      <c r="Z410" s="821"/>
      <c r="AA410" s="821"/>
      <c r="AB410" s="821"/>
      <c r="AC410" s="821"/>
      <c r="AD410" s="821"/>
      <c r="AE410" s="821"/>
      <c r="AF410" s="821"/>
      <c r="AG410" s="821"/>
    </row>
    <row r="411" spans="1:33" s="822" customFormat="1" x14ac:dyDescent="0.2">
      <c r="A411" s="352">
        <f>IF(F411&lt;&gt;"",1+MAX($A$6:A410),"")</f>
        <v>323</v>
      </c>
      <c r="B411" s="367" t="s">
        <v>849</v>
      </c>
      <c r="C411" s="364"/>
      <c r="D411" s="372"/>
      <c r="E411" s="125" t="s">
        <v>864</v>
      </c>
      <c r="F411" s="738">
        <v>8</v>
      </c>
      <c r="G411" s="772">
        <v>0</v>
      </c>
      <c r="H411" s="128">
        <f t="shared" si="152"/>
        <v>8</v>
      </c>
      <c r="I411" s="129" t="s">
        <v>20</v>
      </c>
      <c r="J411" s="817">
        <v>0</v>
      </c>
      <c r="K411" s="437">
        <f t="shared" si="153"/>
        <v>0</v>
      </c>
      <c r="L411" s="388"/>
      <c r="M411" s="821"/>
      <c r="N411" s="821"/>
      <c r="O411" s="821"/>
      <c r="P411" s="821"/>
      <c r="Q411" s="821"/>
      <c r="R411" s="821"/>
      <c r="S411" s="821"/>
      <c r="T411" s="821"/>
      <c r="U411" s="821"/>
      <c r="V411" s="821"/>
      <c r="W411" s="821"/>
      <c r="X411" s="821"/>
      <c r="Y411" s="821"/>
      <c r="Z411" s="821"/>
      <c r="AA411" s="821"/>
      <c r="AB411" s="821"/>
      <c r="AC411" s="821"/>
      <c r="AD411" s="821"/>
      <c r="AE411" s="821"/>
      <c r="AF411" s="821"/>
      <c r="AG411" s="821"/>
    </row>
    <row r="412" spans="1:33" s="822" customFormat="1" x14ac:dyDescent="0.2">
      <c r="A412" s="352">
        <f>IF(F412&lt;&gt;"",1+MAX($A$6:A411),"")</f>
        <v>324</v>
      </c>
      <c r="B412" s="367" t="s">
        <v>849</v>
      </c>
      <c r="C412" s="364"/>
      <c r="D412" s="372"/>
      <c r="E412" s="125" t="s">
        <v>865</v>
      </c>
      <c r="F412" s="738">
        <v>465</v>
      </c>
      <c r="G412" s="772">
        <v>0</v>
      </c>
      <c r="H412" s="128">
        <f t="shared" si="152"/>
        <v>465</v>
      </c>
      <c r="I412" s="129" t="s">
        <v>20</v>
      </c>
      <c r="J412" s="817">
        <v>0</v>
      </c>
      <c r="K412" s="437">
        <f t="shared" si="153"/>
        <v>0</v>
      </c>
      <c r="L412" s="388"/>
      <c r="M412" s="821"/>
      <c r="N412" s="821"/>
      <c r="O412" s="821"/>
      <c r="P412" s="821"/>
      <c r="Q412" s="821"/>
      <c r="R412" s="821"/>
      <c r="S412" s="821"/>
      <c r="T412" s="821"/>
      <c r="U412" s="821"/>
      <c r="V412" s="821"/>
      <c r="W412" s="821"/>
      <c r="X412" s="821"/>
      <c r="Y412" s="821"/>
      <c r="Z412" s="821"/>
      <c r="AA412" s="821"/>
      <c r="AB412" s="821"/>
      <c r="AC412" s="821"/>
      <c r="AD412" s="821"/>
      <c r="AE412" s="821"/>
      <c r="AF412" s="821"/>
      <c r="AG412" s="821"/>
    </row>
    <row r="413" spans="1:33" s="822" customFormat="1" x14ac:dyDescent="0.2">
      <c r="A413" s="352">
        <f>IF(F413&lt;&gt;"",1+MAX($A$6:A412),"")</f>
        <v>325</v>
      </c>
      <c r="B413" s="367" t="s">
        <v>849</v>
      </c>
      <c r="C413" s="364"/>
      <c r="D413" s="372"/>
      <c r="E413" s="125" t="s">
        <v>866</v>
      </c>
      <c r="F413" s="738">
        <v>46</v>
      </c>
      <c r="G413" s="772">
        <v>0</v>
      </c>
      <c r="H413" s="128">
        <f t="shared" si="152"/>
        <v>46</v>
      </c>
      <c r="I413" s="129" t="s">
        <v>20</v>
      </c>
      <c r="J413" s="817">
        <v>0</v>
      </c>
      <c r="K413" s="437">
        <f t="shared" si="153"/>
        <v>0</v>
      </c>
      <c r="L413" s="388"/>
      <c r="M413" s="821"/>
      <c r="N413" s="821"/>
      <c r="O413" s="821"/>
      <c r="P413" s="821"/>
      <c r="Q413" s="821"/>
      <c r="R413" s="821"/>
      <c r="S413" s="821"/>
      <c r="T413" s="821"/>
      <c r="U413" s="821"/>
      <c r="V413" s="821"/>
      <c r="W413" s="821"/>
      <c r="X413" s="821"/>
      <c r="Y413" s="821"/>
      <c r="Z413" s="821"/>
      <c r="AA413" s="821"/>
      <c r="AB413" s="821"/>
      <c r="AC413" s="821"/>
      <c r="AD413" s="821"/>
      <c r="AE413" s="821"/>
      <c r="AF413" s="821"/>
      <c r="AG413" s="821"/>
    </row>
    <row r="414" spans="1:33" s="822" customFormat="1" x14ac:dyDescent="0.2">
      <c r="A414" s="352">
        <f>IF(F414&lt;&gt;"",1+MAX($A$6:A413),"")</f>
        <v>326</v>
      </c>
      <c r="B414" s="367" t="s">
        <v>849</v>
      </c>
      <c r="C414" s="364"/>
      <c r="D414" s="372"/>
      <c r="E414" s="125" t="s">
        <v>867</v>
      </c>
      <c r="F414" s="738">
        <v>1</v>
      </c>
      <c r="G414" s="772">
        <v>0</v>
      </c>
      <c r="H414" s="128">
        <f t="shared" si="152"/>
        <v>1</v>
      </c>
      <c r="I414" s="129" t="s">
        <v>20</v>
      </c>
      <c r="J414" s="817">
        <v>0</v>
      </c>
      <c r="K414" s="437">
        <f t="shared" si="153"/>
        <v>0</v>
      </c>
      <c r="L414" s="388"/>
      <c r="M414" s="821"/>
      <c r="N414" s="821"/>
      <c r="O414" s="821"/>
      <c r="P414" s="821"/>
      <c r="Q414" s="821"/>
      <c r="R414" s="821"/>
      <c r="S414" s="821"/>
      <c r="T414" s="821"/>
      <c r="U414" s="821"/>
      <c r="V414" s="821"/>
      <c r="W414" s="821"/>
      <c r="X414" s="821"/>
      <c r="Y414" s="821"/>
      <c r="Z414" s="821"/>
      <c r="AA414" s="821"/>
      <c r="AB414" s="821"/>
      <c r="AC414" s="821"/>
      <c r="AD414" s="821"/>
      <c r="AE414" s="821"/>
      <c r="AF414" s="821"/>
      <c r="AG414" s="821"/>
    </row>
    <row r="415" spans="1:33" s="822" customFormat="1" x14ac:dyDescent="0.2">
      <c r="A415" s="352">
        <f>IF(F415&lt;&gt;"",1+MAX($A$6:A414),"")</f>
        <v>327</v>
      </c>
      <c r="B415" s="367" t="s">
        <v>849</v>
      </c>
      <c r="C415" s="364"/>
      <c r="D415" s="372"/>
      <c r="E415" s="125" t="s">
        <v>868</v>
      </c>
      <c r="F415" s="738">
        <v>4</v>
      </c>
      <c r="G415" s="772">
        <v>0</v>
      </c>
      <c r="H415" s="128">
        <f t="shared" si="152"/>
        <v>4</v>
      </c>
      <c r="I415" s="129" t="s">
        <v>20</v>
      </c>
      <c r="J415" s="817">
        <v>0</v>
      </c>
      <c r="K415" s="437">
        <f t="shared" si="153"/>
        <v>0</v>
      </c>
      <c r="L415" s="388"/>
      <c r="M415" s="821"/>
      <c r="N415" s="821"/>
      <c r="O415" s="821"/>
      <c r="P415" s="821"/>
      <c r="Q415" s="821"/>
      <c r="R415" s="821"/>
      <c r="S415" s="821"/>
      <c r="T415" s="821"/>
      <c r="U415" s="821"/>
      <c r="V415" s="821"/>
      <c r="W415" s="821"/>
      <c r="X415" s="821"/>
      <c r="Y415" s="821"/>
      <c r="Z415" s="821"/>
      <c r="AA415" s="821"/>
      <c r="AB415" s="821"/>
      <c r="AC415" s="821"/>
      <c r="AD415" s="821"/>
      <c r="AE415" s="821"/>
      <c r="AF415" s="821"/>
      <c r="AG415" s="821"/>
    </row>
    <row r="416" spans="1:33" s="822" customFormat="1" x14ac:dyDescent="0.2">
      <c r="A416" s="352">
        <f>IF(F416&lt;&gt;"",1+MAX($A$6:A415),"")</f>
        <v>328</v>
      </c>
      <c r="B416" s="367" t="s">
        <v>849</v>
      </c>
      <c r="C416" s="364"/>
      <c r="D416" s="372"/>
      <c r="E416" s="125" t="s">
        <v>869</v>
      </c>
      <c r="F416" s="738">
        <v>1</v>
      </c>
      <c r="G416" s="772">
        <v>0</v>
      </c>
      <c r="H416" s="128">
        <f t="shared" si="152"/>
        <v>1</v>
      </c>
      <c r="I416" s="129" t="s">
        <v>20</v>
      </c>
      <c r="J416" s="817">
        <v>0</v>
      </c>
      <c r="K416" s="437">
        <f t="shared" si="153"/>
        <v>0</v>
      </c>
      <c r="L416" s="388"/>
      <c r="M416" s="821"/>
      <c r="N416" s="821"/>
      <c r="O416" s="821"/>
      <c r="P416" s="821"/>
      <c r="Q416" s="821"/>
      <c r="R416" s="821"/>
      <c r="S416" s="821"/>
      <c r="T416" s="821"/>
      <c r="U416" s="821"/>
      <c r="V416" s="821"/>
      <c r="W416" s="821"/>
      <c r="X416" s="821"/>
      <c r="Y416" s="821"/>
      <c r="Z416" s="821"/>
      <c r="AA416" s="821"/>
      <c r="AB416" s="821"/>
      <c r="AC416" s="821"/>
      <c r="AD416" s="821"/>
      <c r="AE416" s="821"/>
      <c r="AF416" s="821"/>
      <c r="AG416" s="821"/>
    </row>
    <row r="417" spans="1:33" s="822" customFormat="1" x14ac:dyDescent="0.2">
      <c r="A417" s="352">
        <f>IF(F417&lt;&gt;"",1+MAX($A$6:A416),"")</f>
        <v>329</v>
      </c>
      <c r="B417" s="367" t="s">
        <v>849</v>
      </c>
      <c r="C417" s="364"/>
      <c r="D417" s="372"/>
      <c r="E417" s="125" t="s">
        <v>870</v>
      </c>
      <c r="F417" s="738">
        <v>1</v>
      </c>
      <c r="G417" s="772">
        <v>0</v>
      </c>
      <c r="H417" s="128">
        <f t="shared" si="152"/>
        <v>1</v>
      </c>
      <c r="I417" s="129" t="s">
        <v>20</v>
      </c>
      <c r="J417" s="817">
        <v>0</v>
      </c>
      <c r="K417" s="437">
        <f t="shared" si="153"/>
        <v>0</v>
      </c>
      <c r="L417" s="388"/>
      <c r="M417" s="821"/>
      <c r="N417" s="821"/>
      <c r="O417" s="821"/>
      <c r="P417" s="821"/>
      <c r="Q417" s="821"/>
      <c r="R417" s="821"/>
      <c r="S417" s="821"/>
      <c r="T417" s="821"/>
      <c r="U417" s="821"/>
      <c r="V417" s="821"/>
      <c r="W417" s="821"/>
      <c r="X417" s="821"/>
      <c r="Y417" s="821"/>
      <c r="Z417" s="821"/>
      <c r="AA417" s="821"/>
      <c r="AB417" s="821"/>
      <c r="AC417" s="821"/>
      <c r="AD417" s="821"/>
      <c r="AE417" s="821"/>
      <c r="AF417" s="821"/>
      <c r="AG417" s="821"/>
    </row>
    <row r="418" spans="1:33" s="822" customFormat="1" x14ac:dyDescent="0.2">
      <c r="A418" s="352">
        <f>IF(F418&lt;&gt;"",1+MAX($A$6:A417),"")</f>
        <v>330</v>
      </c>
      <c r="B418" s="367" t="s">
        <v>849</v>
      </c>
      <c r="C418" s="364"/>
      <c r="D418" s="372"/>
      <c r="E418" s="125" t="s">
        <v>871</v>
      </c>
      <c r="F418" s="738">
        <v>1</v>
      </c>
      <c r="G418" s="772">
        <v>0</v>
      </c>
      <c r="H418" s="128">
        <f t="shared" si="152"/>
        <v>1</v>
      </c>
      <c r="I418" s="129" t="s">
        <v>20</v>
      </c>
      <c r="J418" s="817">
        <v>0</v>
      </c>
      <c r="K418" s="437">
        <f t="shared" si="153"/>
        <v>0</v>
      </c>
      <c r="L418" s="388"/>
      <c r="M418" s="821"/>
      <c r="N418" s="821"/>
      <c r="O418" s="821"/>
      <c r="P418" s="821"/>
      <c r="Q418" s="821"/>
      <c r="R418" s="821"/>
      <c r="S418" s="821"/>
      <c r="T418" s="821"/>
      <c r="U418" s="821"/>
      <c r="V418" s="821"/>
      <c r="W418" s="821"/>
      <c r="X418" s="821"/>
      <c r="Y418" s="821"/>
      <c r="Z418" s="821"/>
      <c r="AA418" s="821"/>
      <c r="AB418" s="821"/>
      <c r="AC418" s="821"/>
      <c r="AD418" s="821"/>
      <c r="AE418" s="821"/>
      <c r="AF418" s="821"/>
      <c r="AG418" s="821"/>
    </row>
    <row r="419" spans="1:33" s="822" customFormat="1" x14ac:dyDescent="0.2">
      <c r="A419" s="352">
        <f>IF(F419&lt;&gt;"",1+MAX($A$6:A418),"")</f>
        <v>331</v>
      </c>
      <c r="B419" s="367" t="s">
        <v>849</v>
      </c>
      <c r="C419" s="364"/>
      <c r="D419" s="372"/>
      <c r="E419" s="125" t="s">
        <v>872</v>
      </c>
      <c r="F419" s="738">
        <v>69</v>
      </c>
      <c r="G419" s="772">
        <v>0</v>
      </c>
      <c r="H419" s="128">
        <f t="shared" si="152"/>
        <v>69</v>
      </c>
      <c r="I419" s="129" t="s">
        <v>20</v>
      </c>
      <c r="J419" s="817">
        <v>0</v>
      </c>
      <c r="K419" s="437">
        <f t="shared" si="153"/>
        <v>0</v>
      </c>
      <c r="L419" s="388"/>
      <c r="M419" s="821"/>
      <c r="N419" s="821"/>
      <c r="O419" s="821"/>
      <c r="P419" s="821"/>
      <c r="Q419" s="821"/>
      <c r="R419" s="821"/>
      <c r="S419" s="821"/>
      <c r="T419" s="821"/>
      <c r="U419" s="821"/>
      <c r="V419" s="821"/>
      <c r="W419" s="821"/>
      <c r="X419" s="821"/>
      <c r="Y419" s="821"/>
      <c r="Z419" s="821"/>
      <c r="AA419" s="821"/>
      <c r="AB419" s="821"/>
      <c r="AC419" s="821"/>
      <c r="AD419" s="821"/>
      <c r="AE419" s="821"/>
      <c r="AF419" s="821"/>
      <c r="AG419" s="821"/>
    </row>
    <row r="420" spans="1:33" s="822" customFormat="1" ht="31.5" x14ac:dyDescent="0.2">
      <c r="A420" s="352">
        <f>IF(F420&lt;&gt;"",1+MAX($A$6:A419),"")</f>
        <v>332</v>
      </c>
      <c r="B420" s="367" t="s">
        <v>849</v>
      </c>
      <c r="C420" s="364"/>
      <c r="D420" s="372"/>
      <c r="E420" s="125" t="s">
        <v>873</v>
      </c>
      <c r="F420" s="738">
        <v>1</v>
      </c>
      <c r="G420" s="772">
        <v>0</v>
      </c>
      <c r="H420" s="128">
        <f t="shared" si="152"/>
        <v>1</v>
      </c>
      <c r="I420" s="129" t="s">
        <v>20</v>
      </c>
      <c r="J420" s="817">
        <v>0</v>
      </c>
      <c r="K420" s="437">
        <f t="shared" si="153"/>
        <v>0</v>
      </c>
      <c r="L420" s="388"/>
      <c r="M420" s="821"/>
      <c r="N420" s="821"/>
      <c r="O420" s="821"/>
      <c r="P420" s="821"/>
      <c r="Q420" s="821"/>
      <c r="R420" s="821"/>
      <c r="S420" s="821"/>
      <c r="T420" s="821"/>
      <c r="U420" s="821"/>
      <c r="V420" s="821"/>
      <c r="W420" s="821"/>
      <c r="X420" s="821"/>
      <c r="Y420" s="821"/>
      <c r="Z420" s="821"/>
      <c r="AA420" s="821"/>
      <c r="AB420" s="821"/>
      <c r="AC420" s="821"/>
      <c r="AD420" s="821"/>
      <c r="AE420" s="821"/>
      <c r="AF420" s="821"/>
      <c r="AG420" s="821"/>
    </row>
    <row r="421" spans="1:33" s="822" customFormat="1" x14ac:dyDescent="0.2">
      <c r="A421" s="352">
        <f>IF(F421&lt;&gt;"",1+MAX($A$6:A420),"")</f>
        <v>333</v>
      </c>
      <c r="B421" s="367" t="s">
        <v>849</v>
      </c>
      <c r="C421" s="364"/>
      <c r="D421" s="372"/>
      <c r="E421" s="125" t="s">
        <v>874</v>
      </c>
      <c r="F421" s="738">
        <v>2</v>
      </c>
      <c r="G421" s="772">
        <v>0</v>
      </c>
      <c r="H421" s="128">
        <f t="shared" si="152"/>
        <v>2</v>
      </c>
      <c r="I421" s="129" t="s">
        <v>20</v>
      </c>
      <c r="J421" s="817">
        <v>0</v>
      </c>
      <c r="K421" s="437">
        <f t="shared" si="153"/>
        <v>0</v>
      </c>
      <c r="L421" s="388"/>
      <c r="M421" s="821"/>
      <c r="N421" s="821"/>
      <c r="O421" s="821"/>
      <c r="P421" s="821"/>
      <c r="Q421" s="821"/>
      <c r="R421" s="821"/>
      <c r="S421" s="821"/>
      <c r="T421" s="821"/>
      <c r="U421" s="821"/>
      <c r="V421" s="821"/>
      <c r="W421" s="821"/>
      <c r="X421" s="821"/>
      <c r="Y421" s="821"/>
      <c r="Z421" s="821"/>
      <c r="AA421" s="821"/>
      <c r="AB421" s="821"/>
      <c r="AC421" s="821"/>
      <c r="AD421" s="821"/>
      <c r="AE421" s="821"/>
      <c r="AF421" s="821"/>
      <c r="AG421" s="821"/>
    </row>
    <row r="422" spans="1:33" s="822" customFormat="1" x14ac:dyDescent="0.2">
      <c r="A422" s="352">
        <f>IF(F422&lt;&gt;"",1+MAX($A$6:A421),"")</f>
        <v>334</v>
      </c>
      <c r="B422" s="367" t="s">
        <v>849</v>
      </c>
      <c r="C422" s="364"/>
      <c r="D422" s="372"/>
      <c r="E422" s="125" t="s">
        <v>875</v>
      </c>
      <c r="F422" s="738">
        <v>1</v>
      </c>
      <c r="G422" s="772">
        <v>0</v>
      </c>
      <c r="H422" s="128">
        <f t="shared" si="152"/>
        <v>1</v>
      </c>
      <c r="I422" s="129" t="s">
        <v>20</v>
      </c>
      <c r="J422" s="817">
        <v>0</v>
      </c>
      <c r="K422" s="437">
        <f t="shared" si="153"/>
        <v>0</v>
      </c>
      <c r="L422" s="388"/>
      <c r="M422" s="821"/>
      <c r="N422" s="821"/>
      <c r="O422" s="821"/>
      <c r="P422" s="821"/>
      <c r="Q422" s="821"/>
      <c r="R422" s="821"/>
      <c r="S422" s="821"/>
      <c r="T422" s="821"/>
      <c r="U422" s="821"/>
      <c r="V422" s="821"/>
      <c r="W422" s="821"/>
      <c r="X422" s="821"/>
      <c r="Y422" s="821"/>
      <c r="Z422" s="821"/>
      <c r="AA422" s="821"/>
      <c r="AB422" s="821"/>
      <c r="AC422" s="821"/>
      <c r="AD422" s="821"/>
      <c r="AE422" s="821"/>
      <c r="AF422" s="821"/>
      <c r="AG422" s="821"/>
    </row>
    <row r="423" spans="1:33" s="822" customFormat="1" x14ac:dyDescent="0.2">
      <c r="A423" s="352">
        <f>IF(F423&lt;&gt;"",1+MAX($A$6:A422),"")</f>
        <v>335</v>
      </c>
      <c r="B423" s="367" t="s">
        <v>849</v>
      </c>
      <c r="C423" s="364"/>
      <c r="D423" s="372"/>
      <c r="E423" s="125" t="s">
        <v>876</v>
      </c>
      <c r="F423" s="738">
        <v>256</v>
      </c>
      <c r="G423" s="772">
        <v>0</v>
      </c>
      <c r="H423" s="128">
        <f t="shared" si="152"/>
        <v>256</v>
      </c>
      <c r="I423" s="129" t="s">
        <v>20</v>
      </c>
      <c r="J423" s="817">
        <v>0</v>
      </c>
      <c r="K423" s="437">
        <f t="shared" si="153"/>
        <v>0</v>
      </c>
      <c r="L423" s="388"/>
      <c r="M423" s="821"/>
      <c r="N423" s="821"/>
      <c r="O423" s="821"/>
      <c r="P423" s="821"/>
      <c r="Q423" s="821"/>
      <c r="R423" s="821"/>
      <c r="S423" s="821"/>
      <c r="T423" s="821"/>
      <c r="U423" s="821"/>
      <c r="V423" s="821"/>
      <c r="W423" s="821"/>
      <c r="X423" s="821"/>
      <c r="Y423" s="821"/>
      <c r="Z423" s="821"/>
      <c r="AA423" s="821"/>
      <c r="AB423" s="821"/>
      <c r="AC423" s="821"/>
      <c r="AD423" s="821"/>
      <c r="AE423" s="821"/>
      <c r="AF423" s="821"/>
      <c r="AG423" s="821"/>
    </row>
    <row r="424" spans="1:33" s="822" customFormat="1" x14ac:dyDescent="0.2">
      <c r="A424" s="352">
        <f>IF(F424&lt;&gt;"",1+MAX($A$6:A423),"")</f>
        <v>336</v>
      </c>
      <c r="B424" s="367" t="s">
        <v>849</v>
      </c>
      <c r="C424" s="364"/>
      <c r="D424" s="372"/>
      <c r="E424" s="125" t="s">
        <v>877</v>
      </c>
      <c r="F424" s="738">
        <v>151</v>
      </c>
      <c r="G424" s="772">
        <v>0</v>
      </c>
      <c r="H424" s="128">
        <f t="shared" si="152"/>
        <v>151</v>
      </c>
      <c r="I424" s="129" t="s">
        <v>20</v>
      </c>
      <c r="J424" s="817">
        <v>0</v>
      </c>
      <c r="K424" s="437">
        <f t="shared" si="153"/>
        <v>0</v>
      </c>
      <c r="L424" s="388"/>
      <c r="M424" s="821"/>
      <c r="N424" s="821"/>
      <c r="O424" s="821"/>
      <c r="P424" s="821"/>
      <c r="Q424" s="821"/>
      <c r="R424" s="821"/>
      <c r="S424" s="821"/>
      <c r="T424" s="821"/>
      <c r="U424" s="821"/>
      <c r="V424" s="821"/>
      <c r="W424" s="821"/>
      <c r="X424" s="821"/>
      <c r="Y424" s="821"/>
      <c r="Z424" s="821"/>
      <c r="AA424" s="821"/>
      <c r="AB424" s="821"/>
      <c r="AC424" s="821"/>
      <c r="AD424" s="821"/>
      <c r="AE424" s="821"/>
      <c r="AF424" s="821"/>
      <c r="AG424" s="821"/>
    </row>
    <row r="425" spans="1:33" s="822" customFormat="1" x14ac:dyDescent="0.2">
      <c r="A425" s="352">
        <f>IF(F425&lt;&gt;"",1+MAX($A$6:A424),"")</f>
        <v>337</v>
      </c>
      <c r="B425" s="367" t="s">
        <v>849</v>
      </c>
      <c r="C425" s="364"/>
      <c r="D425" s="372"/>
      <c r="E425" s="125" t="s">
        <v>878</v>
      </c>
      <c r="F425" s="738">
        <v>63</v>
      </c>
      <c r="G425" s="772">
        <v>0</v>
      </c>
      <c r="H425" s="128">
        <f t="shared" si="152"/>
        <v>63</v>
      </c>
      <c r="I425" s="129" t="s">
        <v>20</v>
      </c>
      <c r="J425" s="817">
        <v>0</v>
      </c>
      <c r="K425" s="437">
        <f t="shared" si="153"/>
        <v>0</v>
      </c>
      <c r="L425" s="388"/>
      <c r="M425" s="821"/>
      <c r="N425" s="821"/>
      <c r="O425" s="821"/>
      <c r="P425" s="821"/>
      <c r="Q425" s="821"/>
      <c r="R425" s="821"/>
      <c r="S425" s="821"/>
      <c r="T425" s="821"/>
      <c r="U425" s="821"/>
      <c r="V425" s="821"/>
      <c r="W425" s="821"/>
      <c r="X425" s="821"/>
      <c r="Y425" s="821"/>
      <c r="Z425" s="821"/>
      <c r="AA425" s="821"/>
      <c r="AB425" s="821"/>
      <c r="AC425" s="821"/>
      <c r="AD425" s="821"/>
      <c r="AE425" s="821"/>
      <c r="AF425" s="821"/>
      <c r="AG425" s="821"/>
    </row>
    <row r="426" spans="1:33" s="822" customFormat="1" ht="31.5" x14ac:dyDescent="0.2">
      <c r="A426" s="352">
        <f>IF(F426&lt;&gt;"",1+MAX($A$6:A425),"")</f>
        <v>338</v>
      </c>
      <c r="B426" s="367" t="s">
        <v>849</v>
      </c>
      <c r="C426" s="364"/>
      <c r="D426" s="372"/>
      <c r="E426" s="125" t="s">
        <v>879</v>
      </c>
      <c r="F426" s="738">
        <v>1</v>
      </c>
      <c r="G426" s="772">
        <v>0</v>
      </c>
      <c r="H426" s="128">
        <f t="shared" si="152"/>
        <v>1</v>
      </c>
      <c r="I426" s="129" t="s">
        <v>20</v>
      </c>
      <c r="J426" s="817">
        <v>0</v>
      </c>
      <c r="K426" s="437">
        <f t="shared" si="153"/>
        <v>0</v>
      </c>
      <c r="L426" s="388"/>
      <c r="M426" s="821"/>
      <c r="N426" s="821"/>
      <c r="O426" s="821"/>
      <c r="P426" s="821"/>
      <c r="Q426" s="821"/>
      <c r="R426" s="821"/>
      <c r="S426" s="821"/>
      <c r="T426" s="821"/>
      <c r="U426" s="821"/>
      <c r="V426" s="821"/>
      <c r="W426" s="821"/>
      <c r="X426" s="821"/>
      <c r="Y426" s="821"/>
      <c r="Z426" s="821"/>
      <c r="AA426" s="821"/>
      <c r="AB426" s="821"/>
      <c r="AC426" s="821"/>
      <c r="AD426" s="821"/>
      <c r="AE426" s="821"/>
      <c r="AF426" s="821"/>
      <c r="AG426" s="821"/>
    </row>
    <row r="427" spans="1:33" s="822" customFormat="1" x14ac:dyDescent="0.2">
      <c r="A427" s="352">
        <f>IF(F427&lt;&gt;"",1+MAX($A$6:A426),"")</f>
        <v>339</v>
      </c>
      <c r="B427" s="367" t="s">
        <v>849</v>
      </c>
      <c r="C427" s="364"/>
      <c r="D427" s="372"/>
      <c r="E427" s="125" t="s">
        <v>880</v>
      </c>
      <c r="F427" s="738">
        <v>3</v>
      </c>
      <c r="G427" s="772">
        <v>0</v>
      </c>
      <c r="H427" s="128">
        <f t="shared" si="152"/>
        <v>3</v>
      </c>
      <c r="I427" s="129" t="s">
        <v>20</v>
      </c>
      <c r="J427" s="817">
        <v>0</v>
      </c>
      <c r="K427" s="437">
        <f t="shared" si="153"/>
        <v>0</v>
      </c>
      <c r="L427" s="388"/>
      <c r="M427" s="821"/>
      <c r="N427" s="821"/>
      <c r="O427" s="821"/>
      <c r="P427" s="821"/>
      <c r="Q427" s="821"/>
      <c r="R427" s="821"/>
      <c r="S427" s="821"/>
      <c r="T427" s="821"/>
      <c r="U427" s="821"/>
      <c r="V427" s="821"/>
      <c r="W427" s="821"/>
      <c r="X427" s="821"/>
      <c r="Y427" s="821"/>
      <c r="Z427" s="821"/>
      <c r="AA427" s="821"/>
      <c r="AB427" s="821"/>
      <c r="AC427" s="821"/>
      <c r="AD427" s="821"/>
      <c r="AE427" s="821"/>
      <c r="AF427" s="821"/>
      <c r="AG427" s="821"/>
    </row>
    <row r="428" spans="1:33" s="822" customFormat="1" x14ac:dyDescent="0.2">
      <c r="A428" s="352">
        <f>IF(F428&lt;&gt;"",1+MAX($A$6:A427),"")</f>
        <v>340</v>
      </c>
      <c r="B428" s="367" t="s">
        <v>849</v>
      </c>
      <c r="C428" s="364"/>
      <c r="D428" s="372"/>
      <c r="E428" s="125" t="s">
        <v>821</v>
      </c>
      <c r="F428" s="738">
        <v>54</v>
      </c>
      <c r="G428" s="772">
        <v>0</v>
      </c>
      <c r="H428" s="128">
        <f t="shared" si="152"/>
        <v>54</v>
      </c>
      <c r="I428" s="129" t="s">
        <v>20</v>
      </c>
      <c r="J428" s="817">
        <v>0</v>
      </c>
      <c r="K428" s="437">
        <f t="shared" si="153"/>
        <v>0</v>
      </c>
      <c r="L428" s="388"/>
      <c r="M428" s="821"/>
      <c r="N428" s="821"/>
      <c r="O428" s="821"/>
      <c r="P428" s="821"/>
      <c r="Q428" s="821"/>
      <c r="R428" s="821"/>
      <c r="S428" s="821"/>
      <c r="T428" s="821"/>
      <c r="U428" s="821"/>
      <c r="V428" s="821"/>
      <c r="W428" s="821"/>
      <c r="X428" s="821"/>
      <c r="Y428" s="821"/>
      <c r="Z428" s="821"/>
      <c r="AA428" s="821"/>
      <c r="AB428" s="821"/>
      <c r="AC428" s="821"/>
      <c r="AD428" s="821"/>
      <c r="AE428" s="821"/>
      <c r="AF428" s="821"/>
      <c r="AG428" s="821"/>
    </row>
    <row r="429" spans="1:33" s="822" customFormat="1" ht="31.5" x14ac:dyDescent="0.2">
      <c r="A429" s="352">
        <f>IF(F429&lt;&gt;"",1+MAX($A$6:A428),"")</f>
        <v>341</v>
      </c>
      <c r="B429" s="367" t="s">
        <v>849</v>
      </c>
      <c r="C429" s="364"/>
      <c r="D429" s="372"/>
      <c r="E429" s="125" t="s">
        <v>881</v>
      </c>
      <c r="F429" s="738">
        <v>1</v>
      </c>
      <c r="G429" s="772">
        <v>0</v>
      </c>
      <c r="H429" s="128">
        <f t="shared" si="152"/>
        <v>1</v>
      </c>
      <c r="I429" s="129" t="s">
        <v>20</v>
      </c>
      <c r="J429" s="817">
        <v>0</v>
      </c>
      <c r="K429" s="437">
        <f t="shared" si="153"/>
        <v>0</v>
      </c>
      <c r="L429" s="388"/>
      <c r="M429" s="821"/>
      <c r="N429" s="821"/>
      <c r="O429" s="821"/>
      <c r="P429" s="821"/>
      <c r="Q429" s="821"/>
      <c r="R429" s="821"/>
      <c r="S429" s="821"/>
      <c r="T429" s="821"/>
      <c r="U429" s="821"/>
      <c r="V429" s="821"/>
      <c r="W429" s="821"/>
      <c r="X429" s="821"/>
      <c r="Y429" s="821"/>
      <c r="Z429" s="821"/>
      <c r="AA429" s="821"/>
      <c r="AB429" s="821"/>
      <c r="AC429" s="821"/>
      <c r="AD429" s="821"/>
      <c r="AE429" s="821"/>
      <c r="AF429" s="821"/>
      <c r="AG429" s="821"/>
    </row>
    <row r="430" spans="1:33" s="822" customFormat="1" x14ac:dyDescent="0.2">
      <c r="A430" s="352">
        <f>IF(F430&lt;&gt;"",1+MAX($A$6:A429),"")</f>
        <v>342</v>
      </c>
      <c r="B430" s="367" t="s">
        <v>849</v>
      </c>
      <c r="C430" s="364"/>
      <c r="D430" s="372"/>
      <c r="E430" s="125" t="s">
        <v>882</v>
      </c>
      <c r="F430" s="738">
        <v>276</v>
      </c>
      <c r="G430" s="772">
        <v>0</v>
      </c>
      <c r="H430" s="128">
        <f t="shared" si="152"/>
        <v>276</v>
      </c>
      <c r="I430" s="129" t="s">
        <v>20</v>
      </c>
      <c r="J430" s="817">
        <v>0</v>
      </c>
      <c r="K430" s="437">
        <f t="shared" si="153"/>
        <v>0</v>
      </c>
      <c r="L430" s="388"/>
      <c r="M430" s="821"/>
      <c r="N430" s="821"/>
      <c r="O430" s="821"/>
      <c r="P430" s="821"/>
      <c r="Q430" s="821"/>
      <c r="R430" s="821"/>
      <c r="S430" s="821"/>
      <c r="T430" s="821"/>
      <c r="U430" s="821"/>
      <c r="V430" s="821"/>
      <c r="W430" s="821"/>
      <c r="X430" s="821"/>
      <c r="Y430" s="821"/>
      <c r="Z430" s="821"/>
      <c r="AA430" s="821"/>
      <c r="AB430" s="821"/>
      <c r="AC430" s="821"/>
      <c r="AD430" s="821"/>
      <c r="AE430" s="821"/>
      <c r="AF430" s="821"/>
      <c r="AG430" s="821"/>
    </row>
    <row r="431" spans="1:33" s="822" customFormat="1" x14ac:dyDescent="0.2">
      <c r="A431" s="352">
        <f>IF(F431&lt;&gt;"",1+MAX($A$6:A430),"")</f>
        <v>343</v>
      </c>
      <c r="B431" s="367" t="s">
        <v>849</v>
      </c>
      <c r="C431" s="364"/>
      <c r="D431" s="372"/>
      <c r="E431" s="125" t="s">
        <v>883</v>
      </c>
      <c r="F431" s="738">
        <v>1</v>
      </c>
      <c r="G431" s="772">
        <v>0</v>
      </c>
      <c r="H431" s="128">
        <f t="shared" si="152"/>
        <v>1</v>
      </c>
      <c r="I431" s="129" t="s">
        <v>20</v>
      </c>
      <c r="J431" s="817">
        <v>0</v>
      </c>
      <c r="K431" s="437">
        <f t="shared" si="153"/>
        <v>0</v>
      </c>
      <c r="L431" s="388"/>
      <c r="M431" s="821"/>
      <c r="N431" s="821"/>
      <c r="O431" s="821"/>
      <c r="P431" s="821"/>
      <c r="Q431" s="821"/>
      <c r="R431" s="821"/>
      <c r="S431" s="821"/>
      <c r="T431" s="821"/>
      <c r="U431" s="821"/>
      <c r="V431" s="821"/>
      <c r="W431" s="821"/>
      <c r="X431" s="821"/>
      <c r="Y431" s="821"/>
      <c r="Z431" s="821"/>
      <c r="AA431" s="821"/>
      <c r="AB431" s="821"/>
      <c r="AC431" s="821"/>
      <c r="AD431" s="821"/>
      <c r="AE431" s="821"/>
      <c r="AF431" s="821"/>
      <c r="AG431" s="821"/>
    </row>
    <row r="432" spans="1:33" s="822" customFormat="1" x14ac:dyDescent="0.2">
      <c r="A432" s="352">
        <f>IF(F432&lt;&gt;"",1+MAX($A$6:A431),"")</f>
        <v>344</v>
      </c>
      <c r="B432" s="367" t="s">
        <v>849</v>
      </c>
      <c r="C432" s="364"/>
      <c r="D432" s="372"/>
      <c r="E432" s="125" t="s">
        <v>884</v>
      </c>
      <c r="F432" s="738">
        <v>127</v>
      </c>
      <c r="G432" s="772">
        <v>0</v>
      </c>
      <c r="H432" s="128">
        <f t="shared" si="152"/>
        <v>127</v>
      </c>
      <c r="I432" s="129" t="s">
        <v>20</v>
      </c>
      <c r="J432" s="817">
        <v>0</v>
      </c>
      <c r="K432" s="437">
        <f t="shared" si="153"/>
        <v>0</v>
      </c>
      <c r="L432" s="388"/>
      <c r="M432" s="821"/>
      <c r="N432" s="821"/>
      <c r="O432" s="821"/>
      <c r="P432" s="821"/>
      <c r="Q432" s="821"/>
      <c r="R432" s="821"/>
      <c r="S432" s="821"/>
      <c r="T432" s="821"/>
      <c r="U432" s="821"/>
      <c r="V432" s="821"/>
      <c r="W432" s="821"/>
      <c r="X432" s="821"/>
      <c r="Y432" s="821"/>
      <c r="Z432" s="821"/>
      <c r="AA432" s="821"/>
      <c r="AB432" s="821"/>
      <c r="AC432" s="821"/>
      <c r="AD432" s="821"/>
      <c r="AE432" s="821"/>
      <c r="AF432" s="821"/>
      <c r="AG432" s="821"/>
    </row>
    <row r="433" spans="1:33" s="822" customFormat="1" x14ac:dyDescent="0.2">
      <c r="A433" s="352">
        <f>IF(F433&lt;&gt;"",1+MAX($A$6:A432),"")</f>
        <v>345</v>
      </c>
      <c r="B433" s="367" t="s">
        <v>849</v>
      </c>
      <c r="C433" s="364"/>
      <c r="D433" s="372"/>
      <c r="E433" s="125" t="s">
        <v>885</v>
      </c>
      <c r="F433" s="738">
        <v>67</v>
      </c>
      <c r="G433" s="772">
        <v>0</v>
      </c>
      <c r="H433" s="128">
        <f t="shared" si="152"/>
        <v>67</v>
      </c>
      <c r="I433" s="129" t="s">
        <v>20</v>
      </c>
      <c r="J433" s="817">
        <v>0</v>
      </c>
      <c r="K433" s="437">
        <f t="shared" si="153"/>
        <v>0</v>
      </c>
      <c r="L433" s="388"/>
      <c r="M433" s="821"/>
      <c r="N433" s="821"/>
      <c r="O433" s="821"/>
      <c r="P433" s="821"/>
      <c r="Q433" s="821"/>
      <c r="R433" s="821"/>
      <c r="S433" s="821"/>
      <c r="T433" s="821"/>
      <c r="U433" s="821"/>
      <c r="V433" s="821"/>
      <c r="W433" s="821"/>
      <c r="X433" s="821"/>
      <c r="Y433" s="821"/>
      <c r="Z433" s="821"/>
      <c r="AA433" s="821"/>
      <c r="AB433" s="821"/>
      <c r="AC433" s="821"/>
      <c r="AD433" s="821"/>
      <c r="AE433" s="821"/>
      <c r="AF433" s="821"/>
      <c r="AG433" s="821"/>
    </row>
    <row r="434" spans="1:33" s="822" customFormat="1" x14ac:dyDescent="0.2">
      <c r="A434" s="352">
        <f>IF(F434&lt;&gt;"",1+MAX($A$6:A433),"")</f>
        <v>346</v>
      </c>
      <c r="B434" s="367" t="s">
        <v>849</v>
      </c>
      <c r="C434" s="364"/>
      <c r="D434" s="372"/>
      <c r="E434" s="125" t="s">
        <v>886</v>
      </c>
      <c r="F434" s="738">
        <v>1</v>
      </c>
      <c r="G434" s="772">
        <v>0</v>
      </c>
      <c r="H434" s="128">
        <f t="shared" si="152"/>
        <v>1</v>
      </c>
      <c r="I434" s="129" t="s">
        <v>20</v>
      </c>
      <c r="J434" s="817">
        <v>0</v>
      </c>
      <c r="K434" s="437">
        <f t="shared" si="153"/>
        <v>0</v>
      </c>
      <c r="L434" s="388"/>
      <c r="M434" s="821"/>
      <c r="N434" s="821"/>
      <c r="O434" s="821"/>
      <c r="P434" s="821"/>
      <c r="Q434" s="821"/>
      <c r="R434" s="821"/>
      <c r="S434" s="821"/>
      <c r="T434" s="821"/>
      <c r="U434" s="821"/>
      <c r="V434" s="821"/>
      <c r="W434" s="821"/>
      <c r="X434" s="821"/>
      <c r="Y434" s="821"/>
      <c r="Z434" s="821"/>
      <c r="AA434" s="821"/>
      <c r="AB434" s="821"/>
      <c r="AC434" s="821"/>
      <c r="AD434" s="821"/>
      <c r="AE434" s="821"/>
      <c r="AF434" s="821"/>
      <c r="AG434" s="821"/>
    </row>
    <row r="435" spans="1:33" s="822" customFormat="1" x14ac:dyDescent="0.2">
      <c r="A435" s="352">
        <f>IF(F435&lt;&gt;"",1+MAX($A$6:A434),"")</f>
        <v>347</v>
      </c>
      <c r="B435" s="367" t="s">
        <v>849</v>
      </c>
      <c r="C435" s="364"/>
      <c r="D435" s="372"/>
      <c r="E435" s="125" t="s">
        <v>887</v>
      </c>
      <c r="F435" s="738">
        <v>1</v>
      </c>
      <c r="G435" s="772">
        <v>0</v>
      </c>
      <c r="H435" s="128">
        <f t="shared" si="152"/>
        <v>1</v>
      </c>
      <c r="I435" s="129" t="s">
        <v>20</v>
      </c>
      <c r="J435" s="817">
        <v>0</v>
      </c>
      <c r="K435" s="437">
        <f t="shared" si="153"/>
        <v>0</v>
      </c>
      <c r="L435" s="388"/>
      <c r="M435" s="821"/>
      <c r="N435" s="821"/>
      <c r="O435" s="821"/>
      <c r="P435" s="821"/>
      <c r="Q435" s="821"/>
      <c r="R435" s="821"/>
      <c r="S435" s="821"/>
      <c r="T435" s="821"/>
      <c r="U435" s="821"/>
      <c r="V435" s="821"/>
      <c r="W435" s="821"/>
      <c r="X435" s="821"/>
      <c r="Y435" s="821"/>
      <c r="Z435" s="821"/>
      <c r="AA435" s="821"/>
      <c r="AB435" s="821"/>
      <c r="AC435" s="821"/>
      <c r="AD435" s="821"/>
      <c r="AE435" s="821"/>
      <c r="AF435" s="821"/>
      <c r="AG435" s="821"/>
    </row>
    <row r="436" spans="1:33" s="822" customFormat="1" x14ac:dyDescent="0.2">
      <c r="A436" s="352">
        <f>IF(F436&lt;&gt;"",1+MAX($A$6:A435),"")</f>
        <v>348</v>
      </c>
      <c r="B436" s="367" t="s">
        <v>849</v>
      </c>
      <c r="C436" s="364"/>
      <c r="D436" s="372"/>
      <c r="E436" s="125" t="s">
        <v>888</v>
      </c>
      <c r="F436" s="738">
        <v>63</v>
      </c>
      <c r="G436" s="772">
        <v>0</v>
      </c>
      <c r="H436" s="128">
        <f t="shared" si="152"/>
        <v>63</v>
      </c>
      <c r="I436" s="129" t="s">
        <v>20</v>
      </c>
      <c r="J436" s="817">
        <v>0</v>
      </c>
      <c r="K436" s="437">
        <f t="shared" si="153"/>
        <v>0</v>
      </c>
      <c r="L436" s="388"/>
      <c r="M436" s="821"/>
      <c r="N436" s="821"/>
      <c r="O436" s="821"/>
      <c r="P436" s="821"/>
      <c r="Q436" s="821"/>
      <c r="R436" s="821"/>
      <c r="S436" s="821"/>
      <c r="T436" s="821"/>
      <c r="U436" s="821"/>
      <c r="V436" s="821"/>
      <c r="W436" s="821"/>
      <c r="X436" s="821"/>
      <c r="Y436" s="821"/>
      <c r="Z436" s="821"/>
      <c r="AA436" s="821"/>
      <c r="AB436" s="821"/>
      <c r="AC436" s="821"/>
      <c r="AD436" s="821"/>
      <c r="AE436" s="821"/>
      <c r="AF436" s="821"/>
      <c r="AG436" s="821"/>
    </row>
    <row r="437" spans="1:33" s="822" customFormat="1" x14ac:dyDescent="0.2">
      <c r="A437" s="352">
        <f>IF(F437&lt;&gt;"",1+MAX($A$6:A436),"")</f>
        <v>349</v>
      </c>
      <c r="B437" s="367" t="s">
        <v>849</v>
      </c>
      <c r="C437" s="364"/>
      <c r="D437" s="372"/>
      <c r="E437" s="125" t="s">
        <v>889</v>
      </c>
      <c r="F437" s="738">
        <v>174</v>
      </c>
      <c r="G437" s="772">
        <v>0</v>
      </c>
      <c r="H437" s="128">
        <f t="shared" si="152"/>
        <v>174</v>
      </c>
      <c r="I437" s="129" t="s">
        <v>20</v>
      </c>
      <c r="J437" s="817">
        <v>0</v>
      </c>
      <c r="K437" s="437">
        <f t="shared" si="153"/>
        <v>0</v>
      </c>
      <c r="L437" s="388"/>
      <c r="M437" s="821"/>
      <c r="N437" s="821"/>
      <c r="O437" s="821"/>
      <c r="P437" s="821"/>
      <c r="Q437" s="821"/>
      <c r="R437" s="821"/>
      <c r="S437" s="821"/>
      <c r="T437" s="821"/>
      <c r="U437" s="821"/>
      <c r="V437" s="821"/>
      <c r="W437" s="821"/>
      <c r="X437" s="821"/>
      <c r="Y437" s="821"/>
      <c r="Z437" s="821"/>
      <c r="AA437" s="821"/>
      <c r="AB437" s="821"/>
      <c r="AC437" s="821"/>
      <c r="AD437" s="821"/>
      <c r="AE437" s="821"/>
      <c r="AF437" s="821"/>
      <c r="AG437" s="821"/>
    </row>
    <row r="438" spans="1:33" s="822" customFormat="1" ht="16.5" thickBot="1" x14ac:dyDescent="0.25">
      <c r="A438" s="352" t="str">
        <f>IF(F438&lt;&gt;"",1+MAX($A$6:A437),"")</f>
        <v/>
      </c>
      <c r="B438" s="823"/>
      <c r="C438" s="823"/>
      <c r="D438" s="824"/>
      <c r="E438" s="825"/>
      <c r="F438" s="826"/>
      <c r="G438" s="827"/>
      <c r="H438" s="828"/>
      <c r="I438" s="829"/>
      <c r="J438" s="389"/>
      <c r="K438" s="390"/>
      <c r="L438" s="388"/>
      <c r="M438" s="821"/>
      <c r="N438" s="821"/>
      <c r="O438" s="821"/>
      <c r="P438" s="821"/>
      <c r="Q438" s="821"/>
      <c r="R438" s="821"/>
      <c r="S438" s="821"/>
      <c r="T438" s="821"/>
      <c r="U438" s="821"/>
      <c r="V438" s="821"/>
      <c r="W438" s="821"/>
      <c r="X438" s="821"/>
      <c r="Y438" s="821"/>
      <c r="Z438" s="821"/>
      <c r="AA438" s="821"/>
      <c r="AB438" s="821"/>
      <c r="AC438" s="821"/>
      <c r="AD438" s="821"/>
      <c r="AE438" s="821"/>
      <c r="AF438" s="821"/>
      <c r="AG438" s="821"/>
    </row>
    <row r="439" spans="1:33" ht="16.5" customHeight="1" thickBot="1" x14ac:dyDescent="0.25">
      <c r="A439" s="352" t="str">
        <f>IF(F439&lt;&gt;"",1+MAX($A$6:A438),"")</f>
        <v/>
      </c>
      <c r="B439" s="123"/>
      <c r="C439" s="364"/>
      <c r="D439" s="365"/>
      <c r="E439" s="366" t="s">
        <v>890</v>
      </c>
      <c r="F439" s="435"/>
      <c r="G439" s="431"/>
      <c r="H439" s="430"/>
      <c r="I439" s="432"/>
      <c r="J439" s="134"/>
      <c r="K439" s="428"/>
      <c r="L439" s="429"/>
      <c r="M439" s="345"/>
      <c r="N439" s="345"/>
      <c r="O439" s="345"/>
      <c r="P439" s="345"/>
      <c r="Q439" s="345"/>
      <c r="R439" s="343"/>
      <c r="S439" s="343"/>
      <c r="T439" s="343"/>
      <c r="U439" s="343"/>
      <c r="V439" s="343"/>
      <c r="W439" s="343"/>
    </row>
    <row r="440" spans="1:33" s="822" customFormat="1" x14ac:dyDescent="0.2">
      <c r="A440" s="352">
        <f>IF(F440&lt;&gt;"",1+MAX($A$6:A439),"")</f>
        <v>350</v>
      </c>
      <c r="B440" s="367" t="s">
        <v>891</v>
      </c>
      <c r="C440" s="364"/>
      <c r="D440" s="368"/>
      <c r="E440" s="391" t="s">
        <v>892</v>
      </c>
      <c r="F440" s="738">
        <v>1</v>
      </c>
      <c r="G440" s="772">
        <v>0</v>
      </c>
      <c r="H440" s="128">
        <f t="shared" ref="H440:H449" si="154">F440*(1+G440)</f>
        <v>1</v>
      </c>
      <c r="I440" s="129" t="s">
        <v>20</v>
      </c>
      <c r="J440" s="817">
        <v>0</v>
      </c>
      <c r="K440" s="437">
        <f t="shared" ref="K440:K503" si="155">J440*H440</f>
        <v>0</v>
      </c>
      <c r="L440" s="388"/>
      <c r="M440" s="821"/>
      <c r="N440" s="821"/>
      <c r="O440" s="821"/>
      <c r="P440" s="821"/>
      <c r="Q440" s="821"/>
      <c r="R440" s="821"/>
      <c r="S440" s="821"/>
      <c r="T440" s="821"/>
      <c r="U440" s="821"/>
      <c r="V440" s="821"/>
      <c r="W440" s="821"/>
      <c r="X440" s="821"/>
      <c r="Y440" s="821"/>
      <c r="Z440" s="821"/>
      <c r="AA440" s="821"/>
      <c r="AB440" s="821"/>
      <c r="AC440" s="821"/>
      <c r="AD440" s="821"/>
      <c r="AE440" s="821"/>
      <c r="AF440" s="821"/>
      <c r="AG440" s="821"/>
    </row>
    <row r="441" spans="1:33" s="822" customFormat="1" x14ac:dyDescent="0.2">
      <c r="A441" s="352">
        <f>IF(F441&lt;&gt;"",1+MAX($A$6:A440),"")</f>
        <v>351</v>
      </c>
      <c r="B441" s="367" t="s">
        <v>891</v>
      </c>
      <c r="C441" s="364"/>
      <c r="D441" s="368"/>
      <c r="E441" s="392" t="s">
        <v>893</v>
      </c>
      <c r="F441" s="738">
        <v>1</v>
      </c>
      <c r="G441" s="772">
        <v>0</v>
      </c>
      <c r="H441" s="128">
        <f t="shared" si="154"/>
        <v>1</v>
      </c>
      <c r="I441" s="129" t="s">
        <v>20</v>
      </c>
      <c r="J441" s="817">
        <v>0</v>
      </c>
      <c r="K441" s="437">
        <f t="shared" si="155"/>
        <v>0</v>
      </c>
      <c r="L441" s="388"/>
      <c r="M441" s="821"/>
      <c r="N441" s="821"/>
      <c r="O441" s="821"/>
      <c r="P441" s="821"/>
      <c r="Q441" s="821"/>
      <c r="R441" s="821"/>
      <c r="S441" s="821"/>
      <c r="T441" s="821"/>
      <c r="U441" s="821"/>
      <c r="V441" s="821"/>
      <c r="W441" s="821"/>
      <c r="X441" s="821"/>
      <c r="Y441" s="821"/>
      <c r="Z441" s="821"/>
      <c r="AA441" s="821"/>
      <c r="AB441" s="821"/>
      <c r="AC441" s="821"/>
      <c r="AD441" s="821"/>
      <c r="AE441" s="821"/>
      <c r="AF441" s="821"/>
      <c r="AG441" s="821"/>
    </row>
    <row r="442" spans="1:33" s="822" customFormat="1" x14ac:dyDescent="0.2">
      <c r="A442" s="352">
        <f>IF(F442&lt;&gt;"",1+MAX($A$6:A441),"")</f>
        <v>352</v>
      </c>
      <c r="B442" s="367" t="s">
        <v>891</v>
      </c>
      <c r="C442" s="364"/>
      <c r="D442" s="368"/>
      <c r="E442" s="392" t="s">
        <v>894</v>
      </c>
      <c r="F442" s="738">
        <v>1</v>
      </c>
      <c r="G442" s="772">
        <v>0</v>
      </c>
      <c r="H442" s="128">
        <f t="shared" si="154"/>
        <v>1</v>
      </c>
      <c r="I442" s="129" t="s">
        <v>20</v>
      </c>
      <c r="J442" s="817">
        <v>0</v>
      </c>
      <c r="K442" s="437">
        <f t="shared" si="155"/>
        <v>0</v>
      </c>
      <c r="L442" s="388"/>
      <c r="M442" s="821"/>
      <c r="N442" s="821"/>
      <c r="O442" s="821"/>
      <c r="P442" s="821"/>
      <c r="Q442" s="821"/>
      <c r="R442" s="821"/>
      <c r="S442" s="821"/>
      <c r="T442" s="821"/>
      <c r="U442" s="821"/>
      <c r="V442" s="821"/>
      <c r="W442" s="821"/>
      <c r="X442" s="821"/>
      <c r="Y442" s="821"/>
      <c r="Z442" s="821"/>
      <c r="AA442" s="821"/>
      <c r="AB442" s="821"/>
      <c r="AC442" s="821"/>
      <c r="AD442" s="821"/>
      <c r="AE442" s="821"/>
      <c r="AF442" s="821"/>
      <c r="AG442" s="821"/>
    </row>
    <row r="443" spans="1:33" s="822" customFormat="1" x14ac:dyDescent="0.2">
      <c r="A443" s="352">
        <f>IF(F443&lt;&gt;"",1+MAX($A$6:A442),"")</f>
        <v>353</v>
      </c>
      <c r="B443" s="367" t="s">
        <v>891</v>
      </c>
      <c r="C443" s="364"/>
      <c r="D443" s="368"/>
      <c r="E443" s="392" t="s">
        <v>895</v>
      </c>
      <c r="F443" s="738">
        <v>5</v>
      </c>
      <c r="G443" s="772">
        <v>0</v>
      </c>
      <c r="H443" s="128">
        <f t="shared" si="154"/>
        <v>5</v>
      </c>
      <c r="I443" s="129" t="s">
        <v>20</v>
      </c>
      <c r="J443" s="817">
        <v>0</v>
      </c>
      <c r="K443" s="437">
        <f t="shared" si="155"/>
        <v>0</v>
      </c>
      <c r="L443" s="388"/>
      <c r="M443" s="821"/>
      <c r="N443" s="821"/>
      <c r="O443" s="821"/>
      <c r="P443" s="821"/>
      <c r="Q443" s="821"/>
      <c r="R443" s="821"/>
      <c r="S443" s="821"/>
      <c r="T443" s="821"/>
      <c r="U443" s="821"/>
      <c r="V443" s="821"/>
      <c r="W443" s="821"/>
      <c r="X443" s="821"/>
      <c r="Y443" s="821"/>
      <c r="Z443" s="821"/>
      <c r="AA443" s="821"/>
      <c r="AB443" s="821"/>
      <c r="AC443" s="821"/>
      <c r="AD443" s="821"/>
      <c r="AE443" s="821"/>
      <c r="AF443" s="821"/>
      <c r="AG443" s="821"/>
    </row>
    <row r="444" spans="1:33" s="822" customFormat="1" x14ac:dyDescent="0.2">
      <c r="A444" s="352">
        <f>IF(F444&lt;&gt;"",1+MAX($A$6:A443),"")</f>
        <v>354</v>
      </c>
      <c r="B444" s="367" t="s">
        <v>891</v>
      </c>
      <c r="C444" s="364"/>
      <c r="D444" s="368"/>
      <c r="E444" s="392" t="s">
        <v>896</v>
      </c>
      <c r="F444" s="738">
        <v>1</v>
      </c>
      <c r="G444" s="772">
        <v>0</v>
      </c>
      <c r="H444" s="128">
        <f t="shared" si="154"/>
        <v>1</v>
      </c>
      <c r="I444" s="129" t="s">
        <v>20</v>
      </c>
      <c r="J444" s="817">
        <v>0</v>
      </c>
      <c r="K444" s="437">
        <f t="shared" si="155"/>
        <v>0</v>
      </c>
      <c r="L444" s="388"/>
      <c r="M444" s="821"/>
      <c r="N444" s="821"/>
      <c r="O444" s="821"/>
      <c r="P444" s="821"/>
      <c r="Q444" s="821"/>
      <c r="R444" s="821"/>
      <c r="S444" s="821"/>
      <c r="T444" s="821"/>
      <c r="U444" s="821"/>
      <c r="V444" s="821"/>
      <c r="W444" s="821"/>
      <c r="X444" s="821"/>
      <c r="Y444" s="821"/>
      <c r="Z444" s="821"/>
      <c r="AA444" s="821"/>
      <c r="AB444" s="821"/>
      <c r="AC444" s="821"/>
      <c r="AD444" s="821"/>
      <c r="AE444" s="821"/>
      <c r="AF444" s="821"/>
      <c r="AG444" s="821"/>
    </row>
    <row r="445" spans="1:33" s="822" customFormat="1" x14ac:dyDescent="0.2">
      <c r="A445" s="352">
        <f>IF(F445&lt;&gt;"",1+MAX($A$6:A444),"")</f>
        <v>355</v>
      </c>
      <c r="B445" s="367" t="s">
        <v>891</v>
      </c>
      <c r="C445" s="364"/>
      <c r="D445" s="368"/>
      <c r="E445" s="392" t="s">
        <v>897</v>
      </c>
      <c r="F445" s="738">
        <v>1</v>
      </c>
      <c r="G445" s="772">
        <v>0</v>
      </c>
      <c r="H445" s="128">
        <f t="shared" si="154"/>
        <v>1</v>
      </c>
      <c r="I445" s="129" t="s">
        <v>20</v>
      </c>
      <c r="J445" s="817">
        <v>0</v>
      </c>
      <c r="K445" s="437">
        <f t="shared" si="155"/>
        <v>0</v>
      </c>
      <c r="L445" s="388"/>
      <c r="M445" s="821"/>
      <c r="N445" s="821"/>
      <c r="O445" s="821"/>
      <c r="P445" s="821"/>
      <c r="Q445" s="821"/>
      <c r="R445" s="821"/>
      <c r="S445" s="821"/>
      <c r="T445" s="821"/>
      <c r="U445" s="821"/>
      <c r="V445" s="821"/>
      <c r="W445" s="821"/>
      <c r="X445" s="821"/>
      <c r="Y445" s="821"/>
      <c r="Z445" s="821"/>
      <c r="AA445" s="821"/>
      <c r="AB445" s="821"/>
      <c r="AC445" s="821"/>
      <c r="AD445" s="821"/>
      <c r="AE445" s="821"/>
      <c r="AF445" s="821"/>
      <c r="AG445" s="821"/>
    </row>
    <row r="446" spans="1:33" s="822" customFormat="1" x14ac:dyDescent="0.2">
      <c r="A446" s="352">
        <f>IF(F446&lt;&gt;"",1+MAX($A$6:A445),"")</f>
        <v>356</v>
      </c>
      <c r="B446" s="367" t="s">
        <v>891</v>
      </c>
      <c r="C446" s="364"/>
      <c r="D446" s="368"/>
      <c r="E446" s="392" t="s">
        <v>898</v>
      </c>
      <c r="F446" s="738">
        <v>1</v>
      </c>
      <c r="G446" s="772">
        <v>0</v>
      </c>
      <c r="H446" s="128">
        <f t="shared" si="154"/>
        <v>1</v>
      </c>
      <c r="I446" s="129" t="s">
        <v>20</v>
      </c>
      <c r="J446" s="817">
        <v>0</v>
      </c>
      <c r="K446" s="437">
        <f t="shared" si="155"/>
        <v>0</v>
      </c>
      <c r="L446" s="388"/>
      <c r="M446" s="821"/>
      <c r="N446" s="821"/>
      <c r="O446" s="821"/>
      <c r="P446" s="821"/>
      <c r="Q446" s="821"/>
      <c r="R446" s="821"/>
      <c r="S446" s="821"/>
      <c r="T446" s="821"/>
      <c r="U446" s="821"/>
      <c r="V446" s="821"/>
      <c r="W446" s="821"/>
      <c r="X446" s="821"/>
      <c r="Y446" s="821"/>
      <c r="Z446" s="821"/>
      <c r="AA446" s="821"/>
      <c r="AB446" s="821"/>
      <c r="AC446" s="821"/>
      <c r="AD446" s="821"/>
      <c r="AE446" s="821"/>
      <c r="AF446" s="821"/>
      <c r="AG446" s="821"/>
    </row>
    <row r="447" spans="1:33" s="822" customFormat="1" x14ac:dyDescent="0.2">
      <c r="A447" s="352">
        <f>IF(F447&lt;&gt;"",1+MAX($A$6:A446),"")</f>
        <v>357</v>
      </c>
      <c r="B447" s="367" t="s">
        <v>891</v>
      </c>
      <c r="C447" s="364"/>
      <c r="D447" s="368"/>
      <c r="E447" s="391" t="s">
        <v>899</v>
      </c>
      <c r="F447" s="738">
        <v>1</v>
      </c>
      <c r="G447" s="772">
        <v>0</v>
      </c>
      <c r="H447" s="128">
        <f t="shared" si="154"/>
        <v>1</v>
      </c>
      <c r="I447" s="129" t="s">
        <v>20</v>
      </c>
      <c r="J447" s="817">
        <v>0</v>
      </c>
      <c r="K447" s="437">
        <f t="shared" si="155"/>
        <v>0</v>
      </c>
      <c r="L447" s="388"/>
      <c r="M447" s="821"/>
      <c r="N447" s="821"/>
      <c r="O447" s="821"/>
      <c r="P447" s="821"/>
      <c r="Q447" s="821"/>
      <c r="R447" s="821"/>
      <c r="S447" s="821"/>
      <c r="T447" s="821"/>
      <c r="U447" s="821"/>
      <c r="V447" s="821"/>
      <c r="W447" s="821"/>
      <c r="X447" s="821"/>
      <c r="Y447" s="821"/>
      <c r="Z447" s="821"/>
      <c r="AA447" s="821"/>
      <c r="AB447" s="821"/>
      <c r="AC447" s="821"/>
      <c r="AD447" s="821"/>
      <c r="AE447" s="821"/>
      <c r="AF447" s="821"/>
      <c r="AG447" s="821"/>
    </row>
    <row r="448" spans="1:33" s="822" customFormat="1" x14ac:dyDescent="0.2">
      <c r="A448" s="352">
        <f>IF(F448&lt;&gt;"",1+MAX($A$6:A447),"")</f>
        <v>358</v>
      </c>
      <c r="B448" s="367" t="s">
        <v>891</v>
      </c>
      <c r="C448" s="364"/>
      <c r="D448" s="368"/>
      <c r="E448" s="392" t="s">
        <v>900</v>
      </c>
      <c r="F448" s="738">
        <v>28</v>
      </c>
      <c r="G448" s="772">
        <v>0</v>
      </c>
      <c r="H448" s="128">
        <f t="shared" si="154"/>
        <v>28</v>
      </c>
      <c r="I448" s="129" t="s">
        <v>20</v>
      </c>
      <c r="J448" s="817">
        <v>0</v>
      </c>
      <c r="K448" s="437">
        <f t="shared" si="155"/>
        <v>0</v>
      </c>
      <c r="L448" s="388"/>
      <c r="M448" s="821"/>
      <c r="N448" s="821"/>
      <c r="O448" s="821"/>
      <c r="P448" s="821"/>
      <c r="Q448" s="821"/>
      <c r="R448" s="821"/>
      <c r="S448" s="821"/>
      <c r="T448" s="821"/>
      <c r="U448" s="821"/>
      <c r="V448" s="821"/>
      <c r="W448" s="821"/>
      <c r="X448" s="821"/>
      <c r="Y448" s="821"/>
      <c r="Z448" s="821"/>
      <c r="AA448" s="821"/>
      <c r="AB448" s="821"/>
      <c r="AC448" s="821"/>
      <c r="AD448" s="821"/>
      <c r="AE448" s="821"/>
      <c r="AF448" s="821"/>
      <c r="AG448" s="821"/>
    </row>
    <row r="449" spans="1:33" s="822" customFormat="1" x14ac:dyDescent="0.2">
      <c r="A449" s="352">
        <f>IF(F449&lt;&gt;"",1+MAX($A$6:A448),"")</f>
        <v>359</v>
      </c>
      <c r="B449" s="367" t="s">
        <v>891</v>
      </c>
      <c r="C449" s="364"/>
      <c r="D449" s="368"/>
      <c r="E449" s="392" t="s">
        <v>901</v>
      </c>
      <c r="F449" s="738">
        <v>7</v>
      </c>
      <c r="G449" s="772">
        <v>0</v>
      </c>
      <c r="H449" s="128">
        <f t="shared" si="154"/>
        <v>7</v>
      </c>
      <c r="I449" s="129" t="s">
        <v>20</v>
      </c>
      <c r="J449" s="817">
        <v>0</v>
      </c>
      <c r="K449" s="437">
        <f t="shared" si="155"/>
        <v>0</v>
      </c>
      <c r="L449" s="388"/>
      <c r="M449" s="821"/>
      <c r="N449" s="821"/>
      <c r="O449" s="821"/>
      <c r="P449" s="821"/>
      <c r="Q449" s="821"/>
      <c r="R449" s="821"/>
      <c r="S449" s="821"/>
      <c r="T449" s="821"/>
      <c r="U449" s="821"/>
      <c r="V449" s="821"/>
      <c r="W449" s="821"/>
      <c r="X449" s="821"/>
      <c r="Y449" s="821"/>
      <c r="Z449" s="821"/>
      <c r="AA449" s="821"/>
      <c r="AB449" s="821"/>
      <c r="AC449" s="821"/>
      <c r="AD449" s="821"/>
      <c r="AE449" s="821"/>
      <c r="AF449" s="821"/>
      <c r="AG449" s="821"/>
    </row>
    <row r="450" spans="1:33" s="822" customFormat="1" x14ac:dyDescent="0.2">
      <c r="A450" s="352">
        <f>IF(F450&lt;&gt;"",1+MAX($A$6:A449),"")</f>
        <v>360</v>
      </c>
      <c r="B450" s="367" t="s">
        <v>891</v>
      </c>
      <c r="C450" s="364"/>
      <c r="D450" s="368"/>
      <c r="E450" s="391" t="s">
        <v>902</v>
      </c>
      <c r="F450" s="738">
        <v>1</v>
      </c>
      <c r="G450" s="772">
        <v>0</v>
      </c>
      <c r="H450" s="128">
        <f>F450*(1+G450)</f>
        <v>1</v>
      </c>
      <c r="I450" s="129" t="s">
        <v>20</v>
      </c>
      <c r="J450" s="817">
        <v>0</v>
      </c>
      <c r="K450" s="437">
        <f t="shared" si="155"/>
        <v>0</v>
      </c>
      <c r="L450" s="388"/>
      <c r="M450" s="821"/>
      <c r="N450" s="821"/>
      <c r="O450" s="821"/>
      <c r="P450" s="821"/>
      <c r="Q450" s="821"/>
      <c r="R450" s="821"/>
      <c r="S450" s="821"/>
      <c r="T450" s="821"/>
      <c r="U450" s="821"/>
      <c r="V450" s="821"/>
      <c r="W450" s="821"/>
      <c r="X450" s="821"/>
      <c r="Y450" s="821"/>
      <c r="Z450" s="821"/>
      <c r="AA450" s="821"/>
      <c r="AB450" s="821"/>
      <c r="AC450" s="821"/>
      <c r="AD450" s="821"/>
      <c r="AE450" s="821"/>
      <c r="AF450" s="821"/>
      <c r="AG450" s="821"/>
    </row>
    <row r="451" spans="1:33" s="822" customFormat="1" x14ac:dyDescent="0.2">
      <c r="A451" s="352">
        <f>IF(F451&lt;&gt;"",1+MAX($A$6:A450),"")</f>
        <v>361</v>
      </c>
      <c r="B451" s="367" t="s">
        <v>891</v>
      </c>
      <c r="C451" s="364"/>
      <c r="D451" s="368"/>
      <c r="E451" s="392" t="s">
        <v>900</v>
      </c>
      <c r="F451" s="738">
        <v>40</v>
      </c>
      <c r="G451" s="772">
        <v>0</v>
      </c>
      <c r="H451" s="128">
        <f t="shared" ref="H451:H452" si="156">F451*(1+G451)</f>
        <v>40</v>
      </c>
      <c r="I451" s="129" t="s">
        <v>20</v>
      </c>
      <c r="J451" s="830">
        <f>J$448</f>
        <v>0</v>
      </c>
      <c r="K451" s="437">
        <f t="shared" si="155"/>
        <v>0</v>
      </c>
      <c r="L451" s="388"/>
      <c r="M451" s="821"/>
      <c r="N451" s="821"/>
      <c r="O451" s="821"/>
      <c r="P451" s="821"/>
      <c r="Q451" s="821"/>
      <c r="R451" s="821"/>
      <c r="S451" s="821"/>
      <c r="T451" s="821"/>
      <c r="U451" s="821"/>
      <c r="V451" s="821"/>
      <c r="W451" s="821"/>
      <c r="X451" s="821"/>
      <c r="Y451" s="821"/>
      <c r="Z451" s="821"/>
      <c r="AA451" s="821"/>
      <c r="AB451" s="821"/>
      <c r="AC451" s="821"/>
      <c r="AD451" s="821"/>
      <c r="AE451" s="821"/>
      <c r="AF451" s="821"/>
      <c r="AG451" s="821"/>
    </row>
    <row r="452" spans="1:33" s="822" customFormat="1" x14ac:dyDescent="0.2">
      <c r="A452" s="352">
        <f>IF(F452&lt;&gt;"",1+MAX($A$6:A451),"")</f>
        <v>362</v>
      </c>
      <c r="B452" s="367" t="s">
        <v>891</v>
      </c>
      <c r="C452" s="364"/>
      <c r="D452" s="368"/>
      <c r="E452" s="392" t="s">
        <v>901</v>
      </c>
      <c r="F452" s="738">
        <v>1</v>
      </c>
      <c r="G452" s="772">
        <v>0</v>
      </c>
      <c r="H452" s="128">
        <f t="shared" si="156"/>
        <v>1</v>
      </c>
      <c r="I452" s="129" t="s">
        <v>20</v>
      </c>
      <c r="J452" s="830">
        <f>J$449</f>
        <v>0</v>
      </c>
      <c r="K452" s="437">
        <f t="shared" si="155"/>
        <v>0</v>
      </c>
      <c r="L452" s="388"/>
      <c r="M452" s="821"/>
      <c r="N452" s="821"/>
      <c r="O452" s="821"/>
      <c r="P452" s="821"/>
      <c r="Q452" s="821"/>
      <c r="R452" s="821"/>
      <c r="S452" s="821"/>
      <c r="T452" s="821"/>
      <c r="U452" s="821"/>
      <c r="V452" s="821"/>
      <c r="W452" s="821"/>
      <c r="X452" s="821"/>
      <c r="Y452" s="821"/>
      <c r="Z452" s="821"/>
      <c r="AA452" s="821"/>
      <c r="AB452" s="821"/>
      <c r="AC452" s="821"/>
      <c r="AD452" s="821"/>
      <c r="AE452" s="821"/>
      <c r="AF452" s="821"/>
      <c r="AG452" s="821"/>
    </row>
    <row r="453" spans="1:33" s="822" customFormat="1" x14ac:dyDescent="0.2">
      <c r="A453" s="352">
        <f>IF(F453&lt;&gt;"",1+MAX($A$6:A452),"")</f>
        <v>363</v>
      </c>
      <c r="B453" s="367" t="s">
        <v>891</v>
      </c>
      <c r="C453" s="364"/>
      <c r="D453" s="368"/>
      <c r="E453" s="391" t="s">
        <v>903</v>
      </c>
      <c r="F453" s="738">
        <v>1</v>
      </c>
      <c r="G453" s="772">
        <v>0</v>
      </c>
      <c r="H453" s="128">
        <f>F453*(1+G453)</f>
        <v>1</v>
      </c>
      <c r="I453" s="129" t="s">
        <v>20</v>
      </c>
      <c r="J453" s="817">
        <v>0</v>
      </c>
      <c r="K453" s="437">
        <f t="shared" si="155"/>
        <v>0</v>
      </c>
      <c r="L453" s="388"/>
      <c r="M453" s="821"/>
      <c r="N453" s="821"/>
      <c r="O453" s="821"/>
      <c r="P453" s="821"/>
      <c r="Q453" s="821"/>
      <c r="R453" s="821"/>
      <c r="S453" s="821"/>
      <c r="T453" s="821"/>
      <c r="U453" s="821"/>
      <c r="V453" s="821"/>
      <c r="W453" s="821"/>
      <c r="X453" s="821"/>
      <c r="Y453" s="821"/>
      <c r="Z453" s="821"/>
      <c r="AA453" s="821"/>
      <c r="AB453" s="821"/>
      <c r="AC453" s="821"/>
      <c r="AD453" s="821"/>
      <c r="AE453" s="821"/>
      <c r="AF453" s="821"/>
      <c r="AG453" s="821"/>
    </row>
    <row r="454" spans="1:33" s="822" customFormat="1" x14ac:dyDescent="0.2">
      <c r="A454" s="352">
        <f>IF(F454&lt;&gt;"",1+MAX($A$6:A453),"")</f>
        <v>364</v>
      </c>
      <c r="B454" s="367" t="s">
        <v>891</v>
      </c>
      <c r="C454" s="364"/>
      <c r="D454" s="368"/>
      <c r="E454" s="392" t="s">
        <v>900</v>
      </c>
      <c r="F454" s="738">
        <v>42</v>
      </c>
      <c r="G454" s="772">
        <v>0</v>
      </c>
      <c r="H454" s="128">
        <f t="shared" ref="H454" si="157">F454*(1+G454)</f>
        <v>42</v>
      </c>
      <c r="I454" s="129" t="s">
        <v>20</v>
      </c>
      <c r="J454" s="830">
        <f>J$448</f>
        <v>0</v>
      </c>
      <c r="K454" s="437">
        <f t="shared" si="155"/>
        <v>0</v>
      </c>
      <c r="L454" s="388"/>
      <c r="M454" s="821"/>
      <c r="N454" s="821"/>
      <c r="O454" s="821"/>
      <c r="P454" s="821"/>
      <c r="Q454" s="821"/>
      <c r="R454" s="821"/>
      <c r="S454" s="821"/>
      <c r="T454" s="821"/>
      <c r="U454" s="821"/>
      <c r="V454" s="821"/>
      <c r="W454" s="821"/>
      <c r="X454" s="821"/>
      <c r="Y454" s="821"/>
      <c r="Z454" s="821"/>
      <c r="AA454" s="821"/>
      <c r="AB454" s="821"/>
      <c r="AC454" s="821"/>
      <c r="AD454" s="821"/>
      <c r="AE454" s="821"/>
      <c r="AF454" s="821"/>
      <c r="AG454" s="821"/>
    </row>
    <row r="455" spans="1:33" s="822" customFormat="1" x14ac:dyDescent="0.2">
      <c r="A455" s="352">
        <f>IF(F455&lt;&gt;"",1+MAX($A$6:A454),"")</f>
        <v>365</v>
      </c>
      <c r="B455" s="367" t="s">
        <v>891</v>
      </c>
      <c r="C455" s="364"/>
      <c r="D455" s="368"/>
      <c r="E455" s="391" t="s">
        <v>904</v>
      </c>
      <c r="F455" s="738">
        <v>1</v>
      </c>
      <c r="G455" s="772">
        <v>0</v>
      </c>
      <c r="H455" s="128">
        <f>F455*(1+G455)</f>
        <v>1</v>
      </c>
      <c r="I455" s="129" t="s">
        <v>20</v>
      </c>
      <c r="J455" s="817">
        <v>0</v>
      </c>
      <c r="K455" s="437">
        <f t="shared" si="155"/>
        <v>0</v>
      </c>
      <c r="L455" s="388"/>
      <c r="M455" s="821"/>
      <c r="N455" s="821"/>
      <c r="O455" s="821"/>
      <c r="P455" s="821"/>
      <c r="Q455" s="821"/>
      <c r="R455" s="821"/>
      <c r="S455" s="821"/>
      <c r="T455" s="821"/>
      <c r="U455" s="821"/>
      <c r="V455" s="821"/>
      <c r="W455" s="821"/>
      <c r="X455" s="821"/>
      <c r="Y455" s="821"/>
      <c r="Z455" s="821"/>
      <c r="AA455" s="821"/>
      <c r="AB455" s="821"/>
      <c r="AC455" s="821"/>
      <c r="AD455" s="821"/>
      <c r="AE455" s="821"/>
      <c r="AF455" s="821"/>
      <c r="AG455" s="821"/>
    </row>
    <row r="456" spans="1:33" s="822" customFormat="1" x14ac:dyDescent="0.2">
      <c r="A456" s="352">
        <f>IF(F456&lt;&gt;"",1+MAX($A$6:A455),"")</f>
        <v>366</v>
      </c>
      <c r="B456" s="367" t="s">
        <v>891</v>
      </c>
      <c r="C456" s="364"/>
      <c r="D456" s="368"/>
      <c r="E456" s="392" t="s">
        <v>900</v>
      </c>
      <c r="F456" s="738">
        <v>42</v>
      </c>
      <c r="G456" s="772">
        <v>0</v>
      </c>
      <c r="H456" s="128">
        <f t="shared" ref="H456" si="158">F456*(1+G456)</f>
        <v>42</v>
      </c>
      <c r="I456" s="129" t="s">
        <v>20</v>
      </c>
      <c r="J456" s="830">
        <f>J$448</f>
        <v>0</v>
      </c>
      <c r="K456" s="437">
        <f t="shared" si="155"/>
        <v>0</v>
      </c>
      <c r="L456" s="388"/>
      <c r="M456" s="821"/>
      <c r="N456" s="821"/>
      <c r="O456" s="821"/>
      <c r="P456" s="821"/>
      <c r="Q456" s="821"/>
      <c r="R456" s="821"/>
      <c r="S456" s="821"/>
      <c r="T456" s="821"/>
      <c r="U456" s="821"/>
      <c r="V456" s="821"/>
      <c r="W456" s="821"/>
      <c r="X456" s="821"/>
      <c r="Y456" s="821"/>
      <c r="Z456" s="821"/>
      <c r="AA456" s="821"/>
      <c r="AB456" s="821"/>
      <c r="AC456" s="821"/>
      <c r="AD456" s="821"/>
      <c r="AE456" s="821"/>
      <c r="AF456" s="821"/>
      <c r="AG456" s="821"/>
    </row>
    <row r="457" spans="1:33" s="822" customFormat="1" x14ac:dyDescent="0.2">
      <c r="A457" s="352">
        <f>IF(F457&lt;&gt;"",1+MAX($A$6:A456),"")</f>
        <v>367</v>
      </c>
      <c r="B457" s="367" t="s">
        <v>891</v>
      </c>
      <c r="C457" s="364"/>
      <c r="D457" s="368"/>
      <c r="E457" s="391" t="s">
        <v>905</v>
      </c>
      <c r="F457" s="738">
        <v>1</v>
      </c>
      <c r="G457" s="772">
        <v>0</v>
      </c>
      <c r="H457" s="128">
        <f>F457*(1+G457)</f>
        <v>1</v>
      </c>
      <c r="I457" s="129" t="s">
        <v>20</v>
      </c>
      <c r="J457" s="817">
        <v>0</v>
      </c>
      <c r="K457" s="437">
        <f t="shared" si="155"/>
        <v>0</v>
      </c>
      <c r="L457" s="388"/>
      <c r="M457" s="821"/>
      <c r="N457" s="821"/>
      <c r="O457" s="821"/>
      <c r="P457" s="821"/>
      <c r="Q457" s="821"/>
      <c r="R457" s="821"/>
      <c r="S457" s="821"/>
      <c r="T457" s="821"/>
      <c r="U457" s="821"/>
      <c r="V457" s="821"/>
      <c r="W457" s="821"/>
      <c r="X457" s="821"/>
      <c r="Y457" s="821"/>
      <c r="Z457" s="821"/>
      <c r="AA457" s="821"/>
      <c r="AB457" s="821"/>
      <c r="AC457" s="821"/>
      <c r="AD457" s="821"/>
      <c r="AE457" s="821"/>
      <c r="AF457" s="821"/>
      <c r="AG457" s="821"/>
    </row>
    <row r="458" spans="1:33" s="822" customFormat="1" x14ac:dyDescent="0.2">
      <c r="A458" s="352">
        <f>IF(F458&lt;&gt;"",1+MAX($A$6:A457),"")</f>
        <v>368</v>
      </c>
      <c r="B458" s="367" t="s">
        <v>891</v>
      </c>
      <c r="C458" s="364"/>
      <c r="D458" s="368"/>
      <c r="E458" s="392" t="s">
        <v>900</v>
      </c>
      <c r="F458" s="738">
        <v>26</v>
      </c>
      <c r="G458" s="772">
        <v>0</v>
      </c>
      <c r="H458" s="128">
        <f t="shared" ref="H458:H459" si="159">F458*(1+G458)</f>
        <v>26</v>
      </c>
      <c r="I458" s="129" t="s">
        <v>20</v>
      </c>
      <c r="J458" s="830">
        <f>J$448</f>
        <v>0</v>
      </c>
      <c r="K458" s="437">
        <f t="shared" si="155"/>
        <v>0</v>
      </c>
      <c r="L458" s="388"/>
      <c r="M458" s="821"/>
      <c r="N458" s="821"/>
      <c r="O458" s="821"/>
      <c r="P458" s="821"/>
      <c r="Q458" s="821"/>
      <c r="R458" s="821"/>
      <c r="S458" s="821"/>
      <c r="T458" s="821"/>
      <c r="U458" s="821"/>
      <c r="V458" s="821"/>
      <c r="W458" s="821"/>
      <c r="X458" s="821"/>
      <c r="Y458" s="821"/>
      <c r="Z458" s="821"/>
      <c r="AA458" s="821"/>
      <c r="AB458" s="821"/>
      <c r="AC458" s="821"/>
      <c r="AD458" s="821"/>
      <c r="AE458" s="821"/>
      <c r="AF458" s="821"/>
      <c r="AG458" s="821"/>
    </row>
    <row r="459" spans="1:33" s="822" customFormat="1" x14ac:dyDescent="0.2">
      <c r="A459" s="352">
        <f>IF(F459&lt;&gt;"",1+MAX($A$6:A458),"")</f>
        <v>369</v>
      </c>
      <c r="B459" s="367" t="s">
        <v>891</v>
      </c>
      <c r="C459" s="364"/>
      <c r="D459" s="368"/>
      <c r="E459" s="392" t="s">
        <v>906</v>
      </c>
      <c r="F459" s="738">
        <v>8</v>
      </c>
      <c r="G459" s="772">
        <v>0</v>
      </c>
      <c r="H459" s="128">
        <f t="shared" si="159"/>
        <v>8</v>
      </c>
      <c r="I459" s="129" t="s">
        <v>20</v>
      </c>
      <c r="J459" s="817">
        <v>0</v>
      </c>
      <c r="K459" s="437">
        <f t="shared" si="155"/>
        <v>0</v>
      </c>
      <c r="L459" s="388"/>
      <c r="M459" s="821"/>
      <c r="N459" s="821"/>
      <c r="O459" s="821"/>
      <c r="P459" s="821"/>
      <c r="Q459" s="821"/>
      <c r="R459" s="821"/>
      <c r="S459" s="821"/>
      <c r="T459" s="821"/>
      <c r="U459" s="821"/>
      <c r="V459" s="821"/>
      <c r="W459" s="821"/>
      <c r="X459" s="821"/>
      <c r="Y459" s="821"/>
      <c r="Z459" s="821"/>
      <c r="AA459" s="821"/>
      <c r="AB459" s="821"/>
      <c r="AC459" s="821"/>
      <c r="AD459" s="821"/>
      <c r="AE459" s="821"/>
      <c r="AF459" s="821"/>
      <c r="AG459" s="821"/>
    </row>
    <row r="460" spans="1:33" s="822" customFormat="1" x14ac:dyDescent="0.2">
      <c r="A460" s="352">
        <f>IF(F460&lt;&gt;"",1+MAX($A$6:A459),"")</f>
        <v>370</v>
      </c>
      <c r="B460" s="367" t="s">
        <v>891</v>
      </c>
      <c r="C460" s="364"/>
      <c r="D460" s="368"/>
      <c r="E460" s="391" t="s">
        <v>907</v>
      </c>
      <c r="F460" s="738">
        <v>1</v>
      </c>
      <c r="G460" s="772">
        <v>0</v>
      </c>
      <c r="H460" s="128">
        <f>F460*(1+G460)</f>
        <v>1</v>
      </c>
      <c r="I460" s="129" t="s">
        <v>20</v>
      </c>
      <c r="J460" s="817">
        <v>0</v>
      </c>
      <c r="K460" s="437">
        <f t="shared" si="155"/>
        <v>0</v>
      </c>
      <c r="L460" s="388"/>
      <c r="M460" s="821"/>
      <c r="N460" s="821"/>
      <c r="O460" s="821"/>
      <c r="P460" s="821"/>
      <c r="Q460" s="821"/>
      <c r="R460" s="821"/>
      <c r="S460" s="821"/>
      <c r="T460" s="821"/>
      <c r="U460" s="821"/>
      <c r="V460" s="821"/>
      <c r="W460" s="821"/>
      <c r="X460" s="821"/>
      <c r="Y460" s="821"/>
      <c r="Z460" s="821"/>
      <c r="AA460" s="821"/>
      <c r="AB460" s="821"/>
      <c r="AC460" s="821"/>
      <c r="AD460" s="821"/>
      <c r="AE460" s="821"/>
      <c r="AF460" s="821"/>
      <c r="AG460" s="821"/>
    </row>
    <row r="461" spans="1:33" s="822" customFormat="1" x14ac:dyDescent="0.2">
      <c r="A461" s="352">
        <f>IF(F461&lt;&gt;"",1+MAX($A$6:A460),"")</f>
        <v>371</v>
      </c>
      <c r="B461" s="367" t="s">
        <v>891</v>
      </c>
      <c r="C461" s="364"/>
      <c r="D461" s="368"/>
      <c r="E461" s="392" t="s">
        <v>908</v>
      </c>
      <c r="F461" s="738">
        <v>3</v>
      </c>
      <c r="G461" s="772">
        <v>0</v>
      </c>
      <c r="H461" s="128">
        <f t="shared" ref="H461:H469" si="160">F461*(1+G461)</f>
        <v>3</v>
      </c>
      <c r="I461" s="129" t="s">
        <v>20</v>
      </c>
      <c r="J461" s="817">
        <v>0</v>
      </c>
      <c r="K461" s="437">
        <f t="shared" si="155"/>
        <v>0</v>
      </c>
      <c r="L461" s="388"/>
      <c r="M461" s="821"/>
      <c r="N461" s="821"/>
      <c r="O461" s="821"/>
      <c r="P461" s="821"/>
      <c r="Q461" s="821"/>
      <c r="R461" s="821"/>
      <c r="S461" s="821"/>
      <c r="T461" s="821"/>
      <c r="U461" s="821"/>
      <c r="V461" s="821"/>
      <c r="W461" s="821"/>
      <c r="X461" s="821"/>
      <c r="Y461" s="821"/>
      <c r="Z461" s="821"/>
      <c r="AA461" s="821"/>
      <c r="AB461" s="821"/>
      <c r="AC461" s="821"/>
      <c r="AD461" s="821"/>
      <c r="AE461" s="821"/>
      <c r="AF461" s="821"/>
      <c r="AG461" s="821"/>
    </row>
    <row r="462" spans="1:33" s="822" customFormat="1" x14ac:dyDescent="0.2">
      <c r="A462" s="352">
        <f>IF(F462&lt;&gt;"",1+MAX($A$6:A461),"")</f>
        <v>372</v>
      </c>
      <c r="B462" s="367" t="s">
        <v>891</v>
      </c>
      <c r="C462" s="364"/>
      <c r="D462" s="368"/>
      <c r="E462" s="392" t="s">
        <v>900</v>
      </c>
      <c r="F462" s="738">
        <v>6</v>
      </c>
      <c r="G462" s="772">
        <v>0</v>
      </c>
      <c r="H462" s="128">
        <f t="shared" si="160"/>
        <v>6</v>
      </c>
      <c r="I462" s="129" t="s">
        <v>20</v>
      </c>
      <c r="J462" s="830">
        <f>J$448</f>
        <v>0</v>
      </c>
      <c r="K462" s="437">
        <f t="shared" si="155"/>
        <v>0</v>
      </c>
      <c r="L462" s="388"/>
      <c r="M462" s="821"/>
      <c r="N462" s="821"/>
      <c r="O462" s="821"/>
      <c r="P462" s="821"/>
      <c r="Q462" s="821"/>
      <c r="R462" s="821"/>
      <c r="S462" s="821"/>
      <c r="T462" s="821"/>
      <c r="U462" s="821"/>
      <c r="V462" s="821"/>
      <c r="W462" s="821"/>
      <c r="X462" s="821"/>
      <c r="Y462" s="821"/>
      <c r="Z462" s="821"/>
      <c r="AA462" s="821"/>
      <c r="AB462" s="821"/>
      <c r="AC462" s="821"/>
      <c r="AD462" s="821"/>
      <c r="AE462" s="821"/>
      <c r="AF462" s="821"/>
      <c r="AG462" s="821"/>
    </row>
    <row r="463" spans="1:33" s="822" customFormat="1" x14ac:dyDescent="0.2">
      <c r="A463" s="352">
        <f>IF(F463&lt;&gt;"",1+MAX($A$6:A462),"")</f>
        <v>373</v>
      </c>
      <c r="B463" s="367" t="s">
        <v>891</v>
      </c>
      <c r="C463" s="364"/>
      <c r="D463" s="368"/>
      <c r="E463" s="392" t="s">
        <v>909</v>
      </c>
      <c r="F463" s="738">
        <v>4</v>
      </c>
      <c r="G463" s="772">
        <v>0</v>
      </c>
      <c r="H463" s="128">
        <f t="shared" si="160"/>
        <v>4</v>
      </c>
      <c r="I463" s="129" t="s">
        <v>20</v>
      </c>
      <c r="J463" s="817">
        <v>0</v>
      </c>
      <c r="K463" s="437">
        <f t="shared" si="155"/>
        <v>0</v>
      </c>
      <c r="L463" s="388"/>
      <c r="M463" s="821"/>
      <c r="N463" s="821"/>
      <c r="O463" s="821"/>
      <c r="P463" s="821"/>
      <c r="Q463" s="821"/>
      <c r="R463" s="821"/>
      <c r="S463" s="821"/>
      <c r="T463" s="821"/>
      <c r="U463" s="821"/>
      <c r="V463" s="821"/>
      <c r="W463" s="821"/>
      <c r="X463" s="821"/>
      <c r="Y463" s="821"/>
      <c r="Z463" s="821"/>
      <c r="AA463" s="821"/>
      <c r="AB463" s="821"/>
      <c r="AC463" s="821"/>
      <c r="AD463" s="821"/>
      <c r="AE463" s="821"/>
      <c r="AF463" s="821"/>
      <c r="AG463" s="821"/>
    </row>
    <row r="464" spans="1:33" s="822" customFormat="1" x14ac:dyDescent="0.2">
      <c r="A464" s="352">
        <f>IF(F464&lt;&gt;"",1+MAX($A$6:A463),"")</f>
        <v>374</v>
      </c>
      <c r="B464" s="367" t="s">
        <v>891</v>
      </c>
      <c r="C464" s="364"/>
      <c r="D464" s="368"/>
      <c r="E464" s="392" t="s">
        <v>906</v>
      </c>
      <c r="F464" s="738">
        <v>1</v>
      </c>
      <c r="G464" s="772">
        <v>0</v>
      </c>
      <c r="H464" s="128">
        <f t="shared" si="160"/>
        <v>1</v>
      </c>
      <c r="I464" s="129" t="s">
        <v>20</v>
      </c>
      <c r="J464" s="830">
        <f>J$459</f>
        <v>0</v>
      </c>
      <c r="K464" s="437">
        <f t="shared" si="155"/>
        <v>0</v>
      </c>
      <c r="L464" s="388"/>
      <c r="M464" s="821"/>
      <c r="N464" s="821"/>
      <c r="O464" s="821"/>
      <c r="P464" s="821"/>
      <c r="Q464" s="821"/>
      <c r="R464" s="821"/>
      <c r="S464" s="821"/>
      <c r="T464" s="821"/>
      <c r="U464" s="821"/>
      <c r="V464" s="821"/>
      <c r="W464" s="821"/>
      <c r="X464" s="821"/>
      <c r="Y464" s="821"/>
      <c r="Z464" s="821"/>
      <c r="AA464" s="821"/>
      <c r="AB464" s="821"/>
      <c r="AC464" s="821"/>
      <c r="AD464" s="821"/>
      <c r="AE464" s="821"/>
      <c r="AF464" s="821"/>
      <c r="AG464" s="821"/>
    </row>
    <row r="465" spans="1:33" s="822" customFormat="1" x14ac:dyDescent="0.2">
      <c r="A465" s="352">
        <f>IF(F465&lt;&gt;"",1+MAX($A$6:A464),"")</f>
        <v>375</v>
      </c>
      <c r="B465" s="367" t="s">
        <v>891</v>
      </c>
      <c r="C465" s="364"/>
      <c r="D465" s="368"/>
      <c r="E465" s="392" t="s">
        <v>910</v>
      </c>
      <c r="F465" s="738">
        <v>2</v>
      </c>
      <c r="G465" s="772">
        <v>0</v>
      </c>
      <c r="H465" s="128">
        <f t="shared" si="160"/>
        <v>2</v>
      </c>
      <c r="I465" s="129" t="s">
        <v>20</v>
      </c>
      <c r="J465" s="817">
        <v>0</v>
      </c>
      <c r="K465" s="437">
        <f t="shared" si="155"/>
        <v>0</v>
      </c>
      <c r="L465" s="388"/>
      <c r="M465" s="821"/>
      <c r="N465" s="821"/>
      <c r="O465" s="821"/>
      <c r="P465" s="821"/>
      <c r="Q465" s="821"/>
      <c r="R465" s="821"/>
      <c r="S465" s="821"/>
      <c r="T465" s="821"/>
      <c r="U465" s="821"/>
      <c r="V465" s="821"/>
      <c r="W465" s="821"/>
      <c r="X465" s="821"/>
      <c r="Y465" s="821"/>
      <c r="Z465" s="821"/>
      <c r="AA465" s="821"/>
      <c r="AB465" s="821"/>
      <c r="AC465" s="821"/>
      <c r="AD465" s="821"/>
      <c r="AE465" s="821"/>
      <c r="AF465" s="821"/>
      <c r="AG465" s="821"/>
    </row>
    <row r="466" spans="1:33" s="822" customFormat="1" x14ac:dyDescent="0.2">
      <c r="A466" s="352">
        <f>IF(F466&lt;&gt;"",1+MAX($A$6:A465),"")</f>
        <v>376</v>
      </c>
      <c r="B466" s="367" t="s">
        <v>891</v>
      </c>
      <c r="C466" s="364"/>
      <c r="D466" s="368"/>
      <c r="E466" s="392" t="s">
        <v>911</v>
      </c>
      <c r="F466" s="738">
        <v>2</v>
      </c>
      <c r="G466" s="772">
        <v>0</v>
      </c>
      <c r="H466" s="128">
        <f t="shared" si="160"/>
        <v>2</v>
      </c>
      <c r="I466" s="129" t="s">
        <v>20</v>
      </c>
      <c r="J466" s="817">
        <v>0</v>
      </c>
      <c r="K466" s="437">
        <f t="shared" si="155"/>
        <v>0</v>
      </c>
      <c r="L466" s="388"/>
      <c r="M466" s="821"/>
      <c r="N466" s="821"/>
      <c r="O466" s="821"/>
      <c r="P466" s="821"/>
      <c r="Q466" s="821"/>
      <c r="R466" s="821"/>
      <c r="S466" s="821"/>
      <c r="T466" s="821"/>
      <c r="U466" s="821"/>
      <c r="V466" s="821"/>
      <c r="W466" s="821"/>
      <c r="X466" s="821"/>
      <c r="Y466" s="821"/>
      <c r="Z466" s="821"/>
      <c r="AA466" s="821"/>
      <c r="AB466" s="821"/>
      <c r="AC466" s="821"/>
      <c r="AD466" s="821"/>
      <c r="AE466" s="821"/>
      <c r="AF466" s="821"/>
      <c r="AG466" s="821"/>
    </row>
    <row r="467" spans="1:33" s="822" customFormat="1" x14ac:dyDescent="0.2">
      <c r="A467" s="352">
        <f>IF(F467&lt;&gt;"",1+MAX($A$6:A466),"")</f>
        <v>377</v>
      </c>
      <c r="B467" s="367" t="s">
        <v>891</v>
      </c>
      <c r="C467" s="364"/>
      <c r="D467" s="368"/>
      <c r="E467" s="392" t="s">
        <v>912</v>
      </c>
      <c r="F467" s="738">
        <v>1</v>
      </c>
      <c r="G467" s="772">
        <v>0</v>
      </c>
      <c r="H467" s="128">
        <f t="shared" si="160"/>
        <v>1</v>
      </c>
      <c r="I467" s="129" t="s">
        <v>20</v>
      </c>
      <c r="J467" s="817">
        <v>0</v>
      </c>
      <c r="K467" s="437">
        <f t="shared" si="155"/>
        <v>0</v>
      </c>
      <c r="L467" s="388"/>
      <c r="M467" s="821"/>
      <c r="N467" s="821"/>
      <c r="O467" s="821"/>
      <c r="P467" s="821"/>
      <c r="Q467" s="821"/>
      <c r="R467" s="821"/>
      <c r="S467" s="821"/>
      <c r="T467" s="821"/>
      <c r="U467" s="821"/>
      <c r="V467" s="821"/>
      <c r="W467" s="821"/>
      <c r="X467" s="821"/>
      <c r="Y467" s="821"/>
      <c r="Z467" s="821"/>
      <c r="AA467" s="821"/>
      <c r="AB467" s="821"/>
      <c r="AC467" s="821"/>
      <c r="AD467" s="821"/>
      <c r="AE467" s="821"/>
      <c r="AF467" s="821"/>
      <c r="AG467" s="821"/>
    </row>
    <row r="468" spans="1:33" s="822" customFormat="1" x14ac:dyDescent="0.2">
      <c r="A468" s="352">
        <f>IF(F468&lt;&gt;"",1+MAX($A$6:A467),"")</f>
        <v>378</v>
      </c>
      <c r="B468" s="367" t="s">
        <v>891</v>
      </c>
      <c r="C468" s="364"/>
      <c r="D468" s="368"/>
      <c r="E468" s="392" t="s">
        <v>913</v>
      </c>
      <c r="F468" s="738">
        <v>1</v>
      </c>
      <c r="G468" s="772">
        <v>0</v>
      </c>
      <c r="H468" s="128">
        <f t="shared" si="160"/>
        <v>1</v>
      </c>
      <c r="I468" s="129" t="s">
        <v>20</v>
      </c>
      <c r="J468" s="817">
        <v>0</v>
      </c>
      <c r="K468" s="437">
        <f t="shared" si="155"/>
        <v>0</v>
      </c>
      <c r="L468" s="388"/>
      <c r="M468" s="821"/>
      <c r="N468" s="821"/>
      <c r="O468" s="821"/>
      <c r="P468" s="821"/>
      <c r="Q468" s="821"/>
      <c r="R468" s="821"/>
      <c r="S468" s="821"/>
      <c r="T468" s="821"/>
      <c r="U468" s="821"/>
      <c r="V468" s="821"/>
      <c r="W468" s="821"/>
      <c r="X468" s="821"/>
      <c r="Y468" s="821"/>
      <c r="Z468" s="821"/>
      <c r="AA468" s="821"/>
      <c r="AB468" s="821"/>
      <c r="AC468" s="821"/>
      <c r="AD468" s="821"/>
      <c r="AE468" s="821"/>
      <c r="AF468" s="821"/>
      <c r="AG468" s="821"/>
    </row>
    <row r="469" spans="1:33" s="822" customFormat="1" x14ac:dyDescent="0.2">
      <c r="A469" s="352">
        <f>IF(F469&lt;&gt;"",1+MAX($A$6:A468),"")</f>
        <v>379</v>
      </c>
      <c r="B469" s="367" t="s">
        <v>891</v>
      </c>
      <c r="C469" s="364"/>
      <c r="D469" s="368"/>
      <c r="E469" s="392" t="s">
        <v>914</v>
      </c>
      <c r="F469" s="738">
        <v>1</v>
      </c>
      <c r="G469" s="772">
        <v>0</v>
      </c>
      <c r="H469" s="128">
        <f t="shared" si="160"/>
        <v>1</v>
      </c>
      <c r="I469" s="129" t="s">
        <v>20</v>
      </c>
      <c r="J469" s="817">
        <v>0</v>
      </c>
      <c r="K469" s="437">
        <f t="shared" si="155"/>
        <v>0</v>
      </c>
      <c r="L469" s="388"/>
      <c r="M469" s="821"/>
      <c r="N469" s="821"/>
      <c r="O469" s="821"/>
      <c r="P469" s="821"/>
      <c r="Q469" s="821"/>
      <c r="R469" s="821"/>
      <c r="S469" s="821"/>
      <c r="T469" s="821"/>
      <c r="U469" s="821"/>
      <c r="V469" s="821"/>
      <c r="W469" s="821"/>
      <c r="X469" s="821"/>
      <c r="Y469" s="821"/>
      <c r="Z469" s="821"/>
      <c r="AA469" s="821"/>
      <c r="AB469" s="821"/>
      <c r="AC469" s="821"/>
      <c r="AD469" s="821"/>
      <c r="AE469" s="821"/>
      <c r="AF469" s="821"/>
      <c r="AG469" s="821"/>
    </row>
    <row r="470" spans="1:33" s="822" customFormat="1" x14ac:dyDescent="0.2">
      <c r="A470" s="352">
        <f>IF(F470&lt;&gt;"",1+MAX($A$6:A469),"")</f>
        <v>380</v>
      </c>
      <c r="B470" s="367" t="s">
        <v>891</v>
      </c>
      <c r="C470" s="364"/>
      <c r="D470" s="368"/>
      <c r="E470" s="391" t="s">
        <v>915</v>
      </c>
      <c r="F470" s="738">
        <v>1</v>
      </c>
      <c r="G470" s="772">
        <v>0</v>
      </c>
      <c r="H470" s="128">
        <f>F470*(1+G470)</f>
        <v>1</v>
      </c>
      <c r="I470" s="129" t="s">
        <v>20</v>
      </c>
      <c r="J470" s="817">
        <v>0</v>
      </c>
      <c r="K470" s="437">
        <f t="shared" si="155"/>
        <v>0</v>
      </c>
      <c r="L470" s="388"/>
      <c r="M470" s="821"/>
      <c r="N470" s="821"/>
      <c r="O470" s="821"/>
      <c r="P470" s="821"/>
      <c r="Q470" s="821"/>
      <c r="R470" s="821"/>
      <c r="S470" s="821"/>
      <c r="T470" s="821"/>
      <c r="U470" s="821"/>
      <c r="V470" s="821"/>
      <c r="W470" s="821"/>
      <c r="X470" s="821"/>
      <c r="Y470" s="821"/>
      <c r="Z470" s="821"/>
      <c r="AA470" s="821"/>
      <c r="AB470" s="821"/>
      <c r="AC470" s="821"/>
      <c r="AD470" s="821"/>
      <c r="AE470" s="821"/>
      <c r="AF470" s="821"/>
      <c r="AG470" s="821"/>
    </row>
    <row r="471" spans="1:33" s="822" customFormat="1" x14ac:dyDescent="0.2">
      <c r="A471" s="352">
        <f>IF(F471&lt;&gt;"",1+MAX($A$6:A470),"")</f>
        <v>381</v>
      </c>
      <c r="B471" s="367" t="s">
        <v>891</v>
      </c>
      <c r="C471" s="364"/>
      <c r="D471" s="368"/>
      <c r="E471" s="392" t="s">
        <v>900</v>
      </c>
      <c r="F471" s="738">
        <v>23</v>
      </c>
      <c r="G471" s="772">
        <v>0</v>
      </c>
      <c r="H471" s="128">
        <f t="shared" ref="H471:H521" si="161">F471*(1+G471)</f>
        <v>23</v>
      </c>
      <c r="I471" s="129" t="s">
        <v>20</v>
      </c>
      <c r="J471" s="830">
        <f>J$448</f>
        <v>0</v>
      </c>
      <c r="K471" s="437">
        <f t="shared" si="155"/>
        <v>0</v>
      </c>
      <c r="L471" s="388"/>
      <c r="M471" s="821"/>
      <c r="N471" s="821"/>
      <c r="O471" s="821"/>
      <c r="P471" s="821"/>
      <c r="Q471" s="821"/>
      <c r="R471" s="821"/>
      <c r="S471" s="821"/>
      <c r="T471" s="821"/>
      <c r="U471" s="821"/>
      <c r="V471" s="821"/>
      <c r="W471" s="821"/>
      <c r="X471" s="821"/>
      <c r="Y471" s="821"/>
      <c r="Z471" s="821"/>
      <c r="AA471" s="821"/>
      <c r="AB471" s="821"/>
      <c r="AC471" s="821"/>
      <c r="AD471" s="821"/>
      <c r="AE471" s="821"/>
      <c r="AF471" s="821"/>
      <c r="AG471" s="821"/>
    </row>
    <row r="472" spans="1:33" s="822" customFormat="1" x14ac:dyDescent="0.2">
      <c r="A472" s="352">
        <f>IF(F472&lt;&gt;"",1+MAX($A$6:A471),"")</f>
        <v>382</v>
      </c>
      <c r="B472" s="367" t="s">
        <v>891</v>
      </c>
      <c r="C472" s="364"/>
      <c r="D472" s="368"/>
      <c r="E472" s="391" t="s">
        <v>916</v>
      </c>
      <c r="F472" s="738">
        <v>22</v>
      </c>
      <c r="G472" s="772">
        <v>0</v>
      </c>
      <c r="H472" s="128">
        <f t="shared" si="161"/>
        <v>22</v>
      </c>
      <c r="I472" s="129" t="s">
        <v>20</v>
      </c>
      <c r="J472" s="817">
        <v>0</v>
      </c>
      <c r="K472" s="437">
        <f t="shared" si="155"/>
        <v>0</v>
      </c>
      <c r="L472" s="388"/>
      <c r="M472" s="821"/>
      <c r="N472" s="821"/>
      <c r="O472" s="821"/>
      <c r="P472" s="821"/>
      <c r="Q472" s="821"/>
      <c r="R472" s="821"/>
      <c r="S472" s="821"/>
      <c r="T472" s="821"/>
      <c r="U472" s="821"/>
      <c r="V472" s="821"/>
      <c r="W472" s="821"/>
      <c r="X472" s="821"/>
      <c r="Y472" s="821"/>
      <c r="Z472" s="821"/>
      <c r="AA472" s="821"/>
      <c r="AB472" s="821"/>
      <c r="AC472" s="821"/>
      <c r="AD472" s="821"/>
      <c r="AE472" s="821"/>
      <c r="AF472" s="821"/>
      <c r="AG472" s="821"/>
    </row>
    <row r="473" spans="1:33" s="822" customFormat="1" x14ac:dyDescent="0.2">
      <c r="A473" s="352">
        <f>IF(F473&lt;&gt;"",1+MAX($A$6:A472),"")</f>
        <v>383</v>
      </c>
      <c r="B473" s="367" t="s">
        <v>891</v>
      </c>
      <c r="C473" s="364"/>
      <c r="D473" s="368"/>
      <c r="E473" s="392" t="s">
        <v>908</v>
      </c>
      <c r="F473" s="738">
        <v>22</v>
      </c>
      <c r="G473" s="772">
        <v>0</v>
      </c>
      <c r="H473" s="128">
        <f t="shared" si="161"/>
        <v>22</v>
      </c>
      <c r="I473" s="129" t="s">
        <v>20</v>
      </c>
      <c r="J473" s="830">
        <f>J$461</f>
        <v>0</v>
      </c>
      <c r="K473" s="437">
        <f t="shared" si="155"/>
        <v>0</v>
      </c>
      <c r="L473" s="388"/>
      <c r="M473" s="821"/>
      <c r="N473" s="821"/>
      <c r="O473" s="821"/>
      <c r="P473" s="821"/>
      <c r="Q473" s="821"/>
      <c r="R473" s="821"/>
      <c r="S473" s="821"/>
      <c r="T473" s="821"/>
      <c r="U473" s="821"/>
      <c r="V473" s="821"/>
      <c r="W473" s="821"/>
      <c r="X473" s="821"/>
      <c r="Y473" s="821"/>
      <c r="Z473" s="821"/>
      <c r="AA473" s="821"/>
      <c r="AB473" s="821"/>
      <c r="AC473" s="821"/>
      <c r="AD473" s="821"/>
      <c r="AE473" s="821"/>
      <c r="AF473" s="821"/>
      <c r="AG473" s="821"/>
    </row>
    <row r="474" spans="1:33" s="822" customFormat="1" x14ac:dyDescent="0.2">
      <c r="A474" s="352">
        <f>IF(F474&lt;&gt;"",1+MAX($A$6:A473),"")</f>
        <v>384</v>
      </c>
      <c r="B474" s="367" t="s">
        <v>891</v>
      </c>
      <c r="C474" s="364"/>
      <c r="D474" s="368"/>
      <c r="E474" s="392" t="s">
        <v>900</v>
      </c>
      <c r="F474" s="738">
        <v>198</v>
      </c>
      <c r="G474" s="772">
        <v>0</v>
      </c>
      <c r="H474" s="128">
        <f t="shared" si="161"/>
        <v>198</v>
      </c>
      <c r="I474" s="129" t="s">
        <v>20</v>
      </c>
      <c r="J474" s="830">
        <f>J$448</f>
        <v>0</v>
      </c>
      <c r="K474" s="437">
        <f t="shared" si="155"/>
        <v>0</v>
      </c>
      <c r="L474" s="388"/>
      <c r="M474" s="821"/>
      <c r="N474" s="821"/>
      <c r="O474" s="821"/>
      <c r="P474" s="821"/>
      <c r="Q474" s="821"/>
      <c r="R474" s="821"/>
      <c r="S474" s="821"/>
      <c r="T474" s="821"/>
      <c r="U474" s="821"/>
      <c r="V474" s="821"/>
      <c r="W474" s="821"/>
      <c r="X474" s="821"/>
      <c r="Y474" s="821"/>
      <c r="Z474" s="821"/>
      <c r="AA474" s="821"/>
      <c r="AB474" s="821"/>
      <c r="AC474" s="821"/>
      <c r="AD474" s="821"/>
      <c r="AE474" s="821"/>
      <c r="AF474" s="821"/>
      <c r="AG474" s="821"/>
    </row>
    <row r="475" spans="1:33" s="822" customFormat="1" x14ac:dyDescent="0.2">
      <c r="A475" s="352">
        <f>IF(F475&lt;&gt;"",1+MAX($A$6:A474),"")</f>
        <v>385</v>
      </c>
      <c r="B475" s="367" t="s">
        <v>891</v>
      </c>
      <c r="C475" s="364"/>
      <c r="D475" s="368"/>
      <c r="E475" s="392" t="s">
        <v>909</v>
      </c>
      <c r="F475" s="738">
        <v>22</v>
      </c>
      <c r="G475" s="772">
        <v>0</v>
      </c>
      <c r="H475" s="128">
        <f t="shared" si="161"/>
        <v>22</v>
      </c>
      <c r="I475" s="129" t="s">
        <v>20</v>
      </c>
      <c r="J475" s="830">
        <f>J$463</f>
        <v>0</v>
      </c>
      <c r="K475" s="437">
        <f t="shared" si="155"/>
        <v>0</v>
      </c>
      <c r="L475" s="388"/>
      <c r="M475" s="821"/>
      <c r="N475" s="821"/>
      <c r="O475" s="821"/>
      <c r="P475" s="821"/>
      <c r="Q475" s="821"/>
      <c r="R475" s="821"/>
      <c r="S475" s="821"/>
      <c r="T475" s="821"/>
      <c r="U475" s="821"/>
      <c r="V475" s="821"/>
      <c r="W475" s="821"/>
      <c r="X475" s="821"/>
      <c r="Y475" s="821"/>
      <c r="Z475" s="821"/>
      <c r="AA475" s="821"/>
      <c r="AB475" s="821"/>
      <c r="AC475" s="821"/>
      <c r="AD475" s="821"/>
      <c r="AE475" s="821"/>
      <c r="AF475" s="821"/>
      <c r="AG475" s="821"/>
    </row>
    <row r="476" spans="1:33" s="822" customFormat="1" x14ac:dyDescent="0.2">
      <c r="A476" s="352">
        <f>IF(F476&lt;&gt;"",1+MAX($A$6:A475),"")</f>
        <v>386</v>
      </c>
      <c r="B476" s="367" t="s">
        <v>891</v>
      </c>
      <c r="C476" s="364"/>
      <c r="D476" s="368"/>
      <c r="E476" s="392" t="s">
        <v>912</v>
      </c>
      <c r="F476" s="738">
        <v>22</v>
      </c>
      <c r="G476" s="772">
        <v>0</v>
      </c>
      <c r="H476" s="128">
        <f t="shared" si="161"/>
        <v>22</v>
      </c>
      <c r="I476" s="129" t="s">
        <v>20</v>
      </c>
      <c r="J476" s="830">
        <f>J$467</f>
        <v>0</v>
      </c>
      <c r="K476" s="437">
        <f t="shared" si="155"/>
        <v>0</v>
      </c>
      <c r="L476" s="388"/>
      <c r="M476" s="821"/>
      <c r="N476" s="821"/>
      <c r="O476" s="821"/>
      <c r="P476" s="821"/>
      <c r="Q476" s="821"/>
      <c r="R476" s="821"/>
      <c r="S476" s="821"/>
      <c r="T476" s="821"/>
      <c r="U476" s="821"/>
      <c r="V476" s="821"/>
      <c r="W476" s="821"/>
      <c r="X476" s="821"/>
      <c r="Y476" s="821"/>
      <c r="Z476" s="821"/>
      <c r="AA476" s="821"/>
      <c r="AB476" s="821"/>
      <c r="AC476" s="821"/>
      <c r="AD476" s="821"/>
      <c r="AE476" s="821"/>
      <c r="AF476" s="821"/>
      <c r="AG476" s="821"/>
    </row>
    <row r="477" spans="1:33" s="822" customFormat="1" x14ac:dyDescent="0.2">
      <c r="A477" s="352">
        <f>IF(F477&lt;&gt;"",1+MAX($A$6:A476),"")</f>
        <v>387</v>
      </c>
      <c r="B477" s="367" t="s">
        <v>891</v>
      </c>
      <c r="C477" s="364"/>
      <c r="D477" s="368"/>
      <c r="E477" s="391" t="s">
        <v>917</v>
      </c>
      <c r="F477" s="738">
        <v>2</v>
      </c>
      <c r="G477" s="772">
        <v>0</v>
      </c>
      <c r="H477" s="128">
        <f t="shared" si="161"/>
        <v>2</v>
      </c>
      <c r="I477" s="129" t="s">
        <v>20</v>
      </c>
      <c r="J477" s="817">
        <v>0</v>
      </c>
      <c r="K477" s="437">
        <f t="shared" si="155"/>
        <v>0</v>
      </c>
      <c r="L477" s="388"/>
      <c r="M477" s="821"/>
      <c r="N477" s="821"/>
      <c r="O477" s="821"/>
      <c r="P477" s="821"/>
      <c r="Q477" s="821"/>
      <c r="R477" s="821"/>
      <c r="S477" s="821"/>
      <c r="T477" s="821"/>
      <c r="U477" s="821"/>
      <c r="V477" s="821"/>
      <c r="W477" s="821"/>
      <c r="X477" s="821"/>
      <c r="Y477" s="821"/>
      <c r="Z477" s="821"/>
      <c r="AA477" s="821"/>
      <c r="AB477" s="821"/>
      <c r="AC477" s="821"/>
      <c r="AD477" s="821"/>
      <c r="AE477" s="821"/>
      <c r="AF477" s="821"/>
      <c r="AG477" s="821"/>
    </row>
    <row r="478" spans="1:33" s="822" customFormat="1" x14ac:dyDescent="0.2">
      <c r="A478" s="352">
        <f>IF(F478&lt;&gt;"",1+MAX($A$6:A477),"")</f>
        <v>388</v>
      </c>
      <c r="B478" s="367" t="s">
        <v>891</v>
      </c>
      <c r="C478" s="364"/>
      <c r="D478" s="368"/>
      <c r="E478" s="392" t="s">
        <v>908</v>
      </c>
      <c r="F478" s="738">
        <v>2</v>
      </c>
      <c r="G478" s="772">
        <v>0</v>
      </c>
      <c r="H478" s="128">
        <f t="shared" si="161"/>
        <v>2</v>
      </c>
      <c r="I478" s="129" t="s">
        <v>20</v>
      </c>
      <c r="J478" s="830">
        <f>J$461</f>
        <v>0</v>
      </c>
      <c r="K478" s="437">
        <f t="shared" si="155"/>
        <v>0</v>
      </c>
      <c r="L478" s="388"/>
      <c r="M478" s="821"/>
      <c r="N478" s="821"/>
      <c r="O478" s="821"/>
      <c r="P478" s="821"/>
      <c r="Q478" s="821"/>
      <c r="R478" s="821"/>
      <c r="S478" s="821"/>
      <c r="T478" s="821"/>
      <c r="U478" s="821"/>
      <c r="V478" s="821"/>
      <c r="W478" s="821"/>
      <c r="X478" s="821"/>
      <c r="Y478" s="821"/>
      <c r="Z478" s="821"/>
      <c r="AA478" s="821"/>
      <c r="AB478" s="821"/>
      <c r="AC478" s="821"/>
      <c r="AD478" s="821"/>
      <c r="AE478" s="821"/>
      <c r="AF478" s="821"/>
      <c r="AG478" s="821"/>
    </row>
    <row r="479" spans="1:33" s="822" customFormat="1" x14ac:dyDescent="0.2">
      <c r="A479" s="352">
        <f>IF(F479&lt;&gt;"",1+MAX($A$6:A478),"")</f>
        <v>389</v>
      </c>
      <c r="B479" s="367" t="s">
        <v>891</v>
      </c>
      <c r="C479" s="364"/>
      <c r="D479" s="368"/>
      <c r="E479" s="392" t="s">
        <v>900</v>
      </c>
      <c r="F479" s="738">
        <v>18</v>
      </c>
      <c r="G479" s="772">
        <v>0</v>
      </c>
      <c r="H479" s="128">
        <f t="shared" si="161"/>
        <v>18</v>
      </c>
      <c r="I479" s="129" t="s">
        <v>20</v>
      </c>
      <c r="J479" s="830">
        <f>J$448</f>
        <v>0</v>
      </c>
      <c r="K479" s="437">
        <f t="shared" si="155"/>
        <v>0</v>
      </c>
      <c r="L479" s="388"/>
      <c r="M479" s="821"/>
      <c r="N479" s="821"/>
      <c r="O479" s="821"/>
      <c r="P479" s="821"/>
      <c r="Q479" s="821"/>
      <c r="R479" s="821"/>
      <c r="S479" s="821"/>
      <c r="T479" s="821"/>
      <c r="U479" s="821"/>
      <c r="V479" s="821"/>
      <c r="W479" s="821"/>
      <c r="X479" s="821"/>
      <c r="Y479" s="821"/>
      <c r="Z479" s="821"/>
      <c r="AA479" s="821"/>
      <c r="AB479" s="821"/>
      <c r="AC479" s="821"/>
      <c r="AD479" s="821"/>
      <c r="AE479" s="821"/>
      <c r="AF479" s="821"/>
      <c r="AG479" s="821"/>
    </row>
    <row r="480" spans="1:33" s="822" customFormat="1" x14ac:dyDescent="0.2">
      <c r="A480" s="352">
        <f>IF(F480&lt;&gt;"",1+MAX($A$6:A479),"")</f>
        <v>390</v>
      </c>
      <c r="B480" s="367" t="s">
        <v>891</v>
      </c>
      <c r="C480" s="364"/>
      <c r="D480" s="368"/>
      <c r="E480" s="392" t="s">
        <v>909</v>
      </c>
      <c r="F480" s="738">
        <v>2</v>
      </c>
      <c r="G480" s="772">
        <v>0</v>
      </c>
      <c r="H480" s="128">
        <f t="shared" si="161"/>
        <v>2</v>
      </c>
      <c r="I480" s="129" t="s">
        <v>20</v>
      </c>
      <c r="J480" s="830">
        <f>J$463</f>
        <v>0</v>
      </c>
      <c r="K480" s="437">
        <f t="shared" si="155"/>
        <v>0</v>
      </c>
      <c r="L480" s="388"/>
      <c r="M480" s="821"/>
      <c r="N480" s="821"/>
      <c r="O480" s="821"/>
      <c r="P480" s="821"/>
      <c r="Q480" s="821"/>
      <c r="R480" s="821"/>
      <c r="S480" s="821"/>
      <c r="T480" s="821"/>
      <c r="U480" s="821"/>
      <c r="V480" s="821"/>
      <c r="W480" s="821"/>
      <c r="X480" s="821"/>
      <c r="Y480" s="821"/>
      <c r="Z480" s="821"/>
      <c r="AA480" s="821"/>
      <c r="AB480" s="821"/>
      <c r="AC480" s="821"/>
      <c r="AD480" s="821"/>
      <c r="AE480" s="821"/>
      <c r="AF480" s="821"/>
      <c r="AG480" s="821"/>
    </row>
    <row r="481" spans="1:33" s="822" customFormat="1" x14ac:dyDescent="0.2">
      <c r="A481" s="352">
        <f>IF(F481&lt;&gt;"",1+MAX($A$6:A480),"")</f>
        <v>391</v>
      </c>
      <c r="B481" s="367" t="s">
        <v>891</v>
      </c>
      <c r="C481" s="364"/>
      <c r="D481" s="368"/>
      <c r="E481" s="392" t="s">
        <v>912</v>
      </c>
      <c r="F481" s="738">
        <v>2</v>
      </c>
      <c r="G481" s="772">
        <v>0</v>
      </c>
      <c r="H481" s="128">
        <f t="shared" si="161"/>
        <v>2</v>
      </c>
      <c r="I481" s="129" t="s">
        <v>20</v>
      </c>
      <c r="J481" s="830">
        <f>J$467</f>
        <v>0</v>
      </c>
      <c r="K481" s="437">
        <f t="shared" si="155"/>
        <v>0</v>
      </c>
      <c r="L481" s="388"/>
      <c r="M481" s="821"/>
      <c r="N481" s="821"/>
      <c r="O481" s="821"/>
      <c r="P481" s="821"/>
      <c r="Q481" s="821"/>
      <c r="R481" s="821"/>
      <c r="S481" s="821"/>
      <c r="T481" s="821"/>
      <c r="U481" s="821"/>
      <c r="V481" s="821"/>
      <c r="W481" s="821"/>
      <c r="X481" s="821"/>
      <c r="Y481" s="821"/>
      <c r="Z481" s="821"/>
      <c r="AA481" s="821"/>
      <c r="AB481" s="821"/>
      <c r="AC481" s="821"/>
      <c r="AD481" s="821"/>
      <c r="AE481" s="821"/>
      <c r="AF481" s="821"/>
      <c r="AG481" s="821"/>
    </row>
    <row r="482" spans="1:33" s="822" customFormat="1" x14ac:dyDescent="0.2">
      <c r="A482" s="352">
        <f>IF(F482&lt;&gt;"",1+MAX($A$6:A481),"")</f>
        <v>392</v>
      </c>
      <c r="B482" s="367" t="s">
        <v>891</v>
      </c>
      <c r="C482" s="364"/>
      <c r="D482" s="368"/>
      <c r="E482" s="391" t="s">
        <v>918</v>
      </c>
      <c r="F482" s="738">
        <v>3</v>
      </c>
      <c r="G482" s="772">
        <v>0</v>
      </c>
      <c r="H482" s="128">
        <f t="shared" si="161"/>
        <v>3</v>
      </c>
      <c r="I482" s="129" t="s">
        <v>20</v>
      </c>
      <c r="J482" s="817">
        <v>0</v>
      </c>
      <c r="K482" s="437">
        <f t="shared" si="155"/>
        <v>0</v>
      </c>
      <c r="L482" s="388"/>
      <c r="M482" s="821"/>
      <c r="N482" s="821"/>
      <c r="O482" s="821"/>
      <c r="P482" s="821"/>
      <c r="Q482" s="821"/>
      <c r="R482" s="821"/>
      <c r="S482" s="821"/>
      <c r="T482" s="821"/>
      <c r="U482" s="821"/>
      <c r="V482" s="821"/>
      <c r="W482" s="821"/>
      <c r="X482" s="821"/>
      <c r="Y482" s="821"/>
      <c r="Z482" s="821"/>
      <c r="AA482" s="821"/>
      <c r="AB482" s="821"/>
      <c r="AC482" s="821"/>
      <c r="AD482" s="821"/>
      <c r="AE482" s="821"/>
      <c r="AF482" s="821"/>
      <c r="AG482" s="821"/>
    </row>
    <row r="483" spans="1:33" s="822" customFormat="1" x14ac:dyDescent="0.2">
      <c r="A483" s="352">
        <f>IF(F483&lt;&gt;"",1+MAX($A$6:A482),"")</f>
        <v>393</v>
      </c>
      <c r="B483" s="367" t="s">
        <v>891</v>
      </c>
      <c r="C483" s="364"/>
      <c r="D483" s="368"/>
      <c r="E483" s="392" t="s">
        <v>908</v>
      </c>
      <c r="F483" s="738">
        <v>3</v>
      </c>
      <c r="G483" s="772">
        <v>0</v>
      </c>
      <c r="H483" s="128">
        <f>F483*(1+G483)</f>
        <v>3</v>
      </c>
      <c r="I483" s="129" t="s">
        <v>20</v>
      </c>
      <c r="J483" s="830">
        <f>J$461</f>
        <v>0</v>
      </c>
      <c r="K483" s="437">
        <f t="shared" si="155"/>
        <v>0</v>
      </c>
      <c r="L483" s="388"/>
      <c r="M483" s="821"/>
      <c r="N483" s="821"/>
      <c r="O483" s="821"/>
      <c r="P483" s="821"/>
      <c r="Q483" s="821"/>
      <c r="R483" s="821"/>
      <c r="S483" s="821"/>
      <c r="T483" s="821"/>
      <c r="U483" s="821"/>
      <c r="V483" s="821"/>
      <c r="W483" s="821"/>
      <c r="X483" s="821"/>
      <c r="Y483" s="821"/>
      <c r="Z483" s="821"/>
      <c r="AA483" s="821"/>
      <c r="AB483" s="821"/>
      <c r="AC483" s="821"/>
      <c r="AD483" s="821"/>
      <c r="AE483" s="821"/>
      <c r="AF483" s="821"/>
      <c r="AG483" s="821"/>
    </row>
    <row r="484" spans="1:33" s="822" customFormat="1" x14ac:dyDescent="0.2">
      <c r="A484" s="352">
        <f>IF(F484&lt;&gt;"",1+MAX($A$6:A483),"")</f>
        <v>394</v>
      </c>
      <c r="B484" s="367" t="s">
        <v>891</v>
      </c>
      <c r="C484" s="364"/>
      <c r="D484" s="368"/>
      <c r="E484" s="392" t="s">
        <v>900</v>
      </c>
      <c r="F484" s="738">
        <v>27</v>
      </c>
      <c r="G484" s="772">
        <v>0</v>
      </c>
      <c r="H484" s="128">
        <f>F484*(1+G484)</f>
        <v>27</v>
      </c>
      <c r="I484" s="129" t="s">
        <v>20</v>
      </c>
      <c r="J484" s="830">
        <f>J$448</f>
        <v>0</v>
      </c>
      <c r="K484" s="437">
        <f t="shared" si="155"/>
        <v>0</v>
      </c>
      <c r="L484" s="388"/>
      <c r="M484" s="821"/>
      <c r="N484" s="821"/>
      <c r="O484" s="821"/>
      <c r="P484" s="821"/>
      <c r="Q484" s="821"/>
      <c r="R484" s="821"/>
      <c r="S484" s="821"/>
      <c r="T484" s="821"/>
      <c r="U484" s="821"/>
      <c r="V484" s="821"/>
      <c r="W484" s="821"/>
      <c r="X484" s="821"/>
      <c r="Y484" s="821"/>
      <c r="Z484" s="821"/>
      <c r="AA484" s="821"/>
      <c r="AB484" s="821"/>
      <c r="AC484" s="821"/>
      <c r="AD484" s="821"/>
      <c r="AE484" s="821"/>
      <c r="AF484" s="821"/>
      <c r="AG484" s="821"/>
    </row>
    <row r="485" spans="1:33" s="822" customFormat="1" x14ac:dyDescent="0.2">
      <c r="A485" s="352">
        <f>IF(F485&lt;&gt;"",1+MAX($A$6:A484),"")</f>
        <v>395</v>
      </c>
      <c r="B485" s="367" t="s">
        <v>891</v>
      </c>
      <c r="C485" s="364"/>
      <c r="D485" s="368"/>
      <c r="E485" s="392" t="s">
        <v>909</v>
      </c>
      <c r="F485" s="738">
        <v>3</v>
      </c>
      <c r="G485" s="772">
        <v>0</v>
      </c>
      <c r="H485" s="128">
        <f>F485*(1+G485)</f>
        <v>3</v>
      </c>
      <c r="I485" s="129" t="s">
        <v>20</v>
      </c>
      <c r="J485" s="830">
        <f>J$463</f>
        <v>0</v>
      </c>
      <c r="K485" s="437">
        <f t="shared" si="155"/>
        <v>0</v>
      </c>
      <c r="L485" s="388"/>
      <c r="M485" s="821"/>
      <c r="N485" s="821"/>
      <c r="O485" s="821"/>
      <c r="P485" s="821"/>
      <c r="Q485" s="821"/>
      <c r="R485" s="821"/>
      <c r="S485" s="821"/>
      <c r="T485" s="821"/>
      <c r="U485" s="821"/>
      <c r="V485" s="821"/>
      <c r="W485" s="821"/>
      <c r="X485" s="821"/>
      <c r="Y485" s="821"/>
      <c r="Z485" s="821"/>
      <c r="AA485" s="821"/>
      <c r="AB485" s="821"/>
      <c r="AC485" s="821"/>
      <c r="AD485" s="821"/>
      <c r="AE485" s="821"/>
      <c r="AF485" s="821"/>
      <c r="AG485" s="821"/>
    </row>
    <row r="486" spans="1:33" s="822" customFormat="1" x14ac:dyDescent="0.2">
      <c r="A486" s="352">
        <f>IF(F486&lt;&gt;"",1+MAX($A$6:A485),"")</f>
        <v>396</v>
      </c>
      <c r="B486" s="367" t="s">
        <v>891</v>
      </c>
      <c r="C486" s="364"/>
      <c r="D486" s="368"/>
      <c r="E486" s="392" t="s">
        <v>912</v>
      </c>
      <c r="F486" s="738">
        <v>3</v>
      </c>
      <c r="G486" s="772">
        <v>0</v>
      </c>
      <c r="H486" s="128">
        <f>F486*(1+G486)</f>
        <v>3</v>
      </c>
      <c r="I486" s="129" t="s">
        <v>20</v>
      </c>
      <c r="J486" s="830">
        <f>J$467</f>
        <v>0</v>
      </c>
      <c r="K486" s="437">
        <f t="shared" si="155"/>
        <v>0</v>
      </c>
      <c r="L486" s="388"/>
      <c r="M486" s="821"/>
      <c r="N486" s="821"/>
      <c r="O486" s="821"/>
      <c r="P486" s="821"/>
      <c r="Q486" s="821"/>
      <c r="R486" s="821"/>
      <c r="S486" s="821"/>
      <c r="T486" s="821"/>
      <c r="U486" s="821"/>
      <c r="V486" s="821"/>
      <c r="W486" s="821"/>
      <c r="X486" s="821"/>
      <c r="Y486" s="821"/>
      <c r="Z486" s="821"/>
      <c r="AA486" s="821"/>
      <c r="AB486" s="821"/>
      <c r="AC486" s="821"/>
      <c r="AD486" s="821"/>
      <c r="AE486" s="821"/>
      <c r="AF486" s="821"/>
      <c r="AG486" s="821"/>
    </row>
    <row r="487" spans="1:33" s="822" customFormat="1" x14ac:dyDescent="0.2">
      <c r="A487" s="352">
        <f>IF(F487&lt;&gt;"",1+MAX($A$6:A486),"")</f>
        <v>397</v>
      </c>
      <c r="B487" s="367" t="s">
        <v>891</v>
      </c>
      <c r="C487" s="364"/>
      <c r="D487" s="368"/>
      <c r="E487" s="391" t="s">
        <v>919</v>
      </c>
      <c r="F487" s="738">
        <v>12</v>
      </c>
      <c r="G487" s="772">
        <v>0</v>
      </c>
      <c r="H487" s="128">
        <f t="shared" si="161"/>
        <v>12</v>
      </c>
      <c r="I487" s="129" t="s">
        <v>20</v>
      </c>
      <c r="J487" s="817">
        <v>0</v>
      </c>
      <c r="K487" s="437">
        <f t="shared" si="155"/>
        <v>0</v>
      </c>
      <c r="L487" s="388"/>
      <c r="M487" s="821"/>
      <c r="N487" s="821"/>
      <c r="O487" s="821"/>
      <c r="P487" s="821"/>
      <c r="Q487" s="821"/>
      <c r="R487" s="821"/>
      <c r="S487" s="821"/>
      <c r="T487" s="821"/>
      <c r="U487" s="821"/>
      <c r="V487" s="821"/>
      <c r="W487" s="821"/>
      <c r="X487" s="821"/>
      <c r="Y487" s="821"/>
      <c r="Z487" s="821"/>
      <c r="AA487" s="821"/>
      <c r="AB487" s="821"/>
      <c r="AC487" s="821"/>
      <c r="AD487" s="821"/>
      <c r="AE487" s="821"/>
      <c r="AF487" s="821"/>
      <c r="AG487" s="821"/>
    </row>
    <row r="488" spans="1:33" s="822" customFormat="1" x14ac:dyDescent="0.2">
      <c r="A488" s="352">
        <f>IF(F488&lt;&gt;"",1+MAX($A$6:A487),"")</f>
        <v>398</v>
      </c>
      <c r="B488" s="367" t="s">
        <v>891</v>
      </c>
      <c r="C488" s="364"/>
      <c r="D488" s="368"/>
      <c r="E488" s="392" t="s">
        <v>908</v>
      </c>
      <c r="F488" s="738">
        <v>12</v>
      </c>
      <c r="G488" s="772">
        <v>0</v>
      </c>
      <c r="H488" s="128">
        <f>F488*(1+G488)</f>
        <v>12</v>
      </c>
      <c r="I488" s="129" t="s">
        <v>20</v>
      </c>
      <c r="J488" s="830">
        <f>J$461</f>
        <v>0</v>
      </c>
      <c r="K488" s="437">
        <f t="shared" si="155"/>
        <v>0</v>
      </c>
      <c r="L488" s="388"/>
      <c r="M488" s="821"/>
      <c r="N488" s="821"/>
      <c r="O488" s="821"/>
      <c r="P488" s="821"/>
      <c r="Q488" s="821"/>
      <c r="R488" s="821"/>
      <c r="S488" s="821"/>
      <c r="T488" s="821"/>
      <c r="U488" s="821"/>
      <c r="V488" s="821"/>
      <c r="W488" s="821"/>
      <c r="X488" s="821"/>
      <c r="Y488" s="821"/>
      <c r="Z488" s="821"/>
      <c r="AA488" s="821"/>
      <c r="AB488" s="821"/>
      <c r="AC488" s="821"/>
      <c r="AD488" s="821"/>
      <c r="AE488" s="821"/>
      <c r="AF488" s="821"/>
      <c r="AG488" s="821"/>
    </row>
    <row r="489" spans="1:33" s="822" customFormat="1" x14ac:dyDescent="0.2">
      <c r="A489" s="352">
        <f>IF(F489&lt;&gt;"",1+MAX($A$6:A488),"")</f>
        <v>399</v>
      </c>
      <c r="B489" s="367" t="s">
        <v>891</v>
      </c>
      <c r="C489" s="364"/>
      <c r="D489" s="368"/>
      <c r="E489" s="392" t="s">
        <v>900</v>
      </c>
      <c r="F489" s="738">
        <f>12*9</f>
        <v>108</v>
      </c>
      <c r="G489" s="772">
        <v>0</v>
      </c>
      <c r="H489" s="128">
        <f t="shared" ref="H489:H491" si="162">F489*(1+G489)</f>
        <v>108</v>
      </c>
      <c r="I489" s="129" t="s">
        <v>20</v>
      </c>
      <c r="J489" s="830">
        <f>J$448</f>
        <v>0</v>
      </c>
      <c r="K489" s="437">
        <f t="shared" si="155"/>
        <v>0</v>
      </c>
      <c r="L489" s="388"/>
      <c r="M489" s="821"/>
      <c r="N489" s="821"/>
      <c r="O489" s="821"/>
      <c r="P489" s="821"/>
      <c r="Q489" s="821"/>
      <c r="R489" s="821"/>
      <c r="S489" s="821"/>
      <c r="T489" s="821"/>
      <c r="U489" s="821"/>
      <c r="V489" s="821"/>
      <c r="W489" s="821"/>
      <c r="X489" s="821"/>
      <c r="Y489" s="821"/>
      <c r="Z489" s="821"/>
      <c r="AA489" s="821"/>
      <c r="AB489" s="821"/>
      <c r="AC489" s="821"/>
      <c r="AD489" s="821"/>
      <c r="AE489" s="821"/>
      <c r="AF489" s="821"/>
      <c r="AG489" s="821"/>
    </row>
    <row r="490" spans="1:33" s="822" customFormat="1" x14ac:dyDescent="0.2">
      <c r="A490" s="352">
        <f>IF(F490&lt;&gt;"",1+MAX($A$6:A489),"")</f>
        <v>400</v>
      </c>
      <c r="B490" s="367" t="s">
        <v>891</v>
      </c>
      <c r="C490" s="364"/>
      <c r="D490" s="368"/>
      <c r="E490" s="392" t="s">
        <v>909</v>
      </c>
      <c r="F490" s="738">
        <v>12</v>
      </c>
      <c r="G490" s="772">
        <v>0</v>
      </c>
      <c r="H490" s="128">
        <f t="shared" si="162"/>
        <v>12</v>
      </c>
      <c r="I490" s="129" t="s">
        <v>20</v>
      </c>
      <c r="J490" s="830">
        <f>J$463</f>
        <v>0</v>
      </c>
      <c r="K490" s="437">
        <f t="shared" si="155"/>
        <v>0</v>
      </c>
      <c r="L490" s="388"/>
      <c r="M490" s="821"/>
      <c r="N490" s="821"/>
      <c r="O490" s="821"/>
      <c r="P490" s="821"/>
      <c r="Q490" s="821"/>
      <c r="R490" s="821"/>
      <c r="S490" s="821"/>
      <c r="T490" s="821"/>
      <c r="U490" s="821"/>
      <c r="V490" s="821"/>
      <c r="W490" s="821"/>
      <c r="X490" s="821"/>
      <c r="Y490" s="821"/>
      <c r="Z490" s="821"/>
      <c r="AA490" s="821"/>
      <c r="AB490" s="821"/>
      <c r="AC490" s="821"/>
      <c r="AD490" s="821"/>
      <c r="AE490" s="821"/>
      <c r="AF490" s="821"/>
      <c r="AG490" s="821"/>
    </row>
    <row r="491" spans="1:33" s="822" customFormat="1" x14ac:dyDescent="0.2">
      <c r="A491" s="352">
        <f>IF(F491&lt;&gt;"",1+MAX($A$6:A490),"")</f>
        <v>401</v>
      </c>
      <c r="B491" s="367" t="s">
        <v>891</v>
      </c>
      <c r="C491" s="364"/>
      <c r="D491" s="368"/>
      <c r="E491" s="392" t="s">
        <v>912</v>
      </c>
      <c r="F491" s="738">
        <v>12</v>
      </c>
      <c r="G491" s="772">
        <v>0</v>
      </c>
      <c r="H491" s="128">
        <f t="shared" si="162"/>
        <v>12</v>
      </c>
      <c r="I491" s="129" t="s">
        <v>20</v>
      </c>
      <c r="J491" s="830">
        <f>J$467</f>
        <v>0</v>
      </c>
      <c r="K491" s="437">
        <f t="shared" si="155"/>
        <v>0</v>
      </c>
      <c r="L491" s="388"/>
      <c r="M491" s="821"/>
      <c r="N491" s="821"/>
      <c r="O491" s="821"/>
      <c r="P491" s="821"/>
      <c r="Q491" s="821"/>
      <c r="R491" s="821"/>
      <c r="S491" s="821"/>
      <c r="T491" s="821"/>
      <c r="U491" s="821"/>
      <c r="V491" s="821"/>
      <c r="W491" s="821"/>
      <c r="X491" s="821"/>
      <c r="Y491" s="821"/>
      <c r="Z491" s="821"/>
      <c r="AA491" s="821"/>
      <c r="AB491" s="821"/>
      <c r="AC491" s="821"/>
      <c r="AD491" s="821"/>
      <c r="AE491" s="821"/>
      <c r="AF491" s="821"/>
      <c r="AG491" s="821"/>
    </row>
    <row r="492" spans="1:33" s="822" customFormat="1" x14ac:dyDescent="0.2">
      <c r="A492" s="352">
        <f>IF(F492&lt;&gt;"",1+MAX($A$6:A491),"")</f>
        <v>402</v>
      </c>
      <c r="B492" s="367" t="s">
        <v>891</v>
      </c>
      <c r="C492" s="364"/>
      <c r="D492" s="368"/>
      <c r="E492" s="391" t="s">
        <v>920</v>
      </c>
      <c r="F492" s="738">
        <v>1</v>
      </c>
      <c r="G492" s="772">
        <v>0</v>
      </c>
      <c r="H492" s="128">
        <f t="shared" si="161"/>
        <v>1</v>
      </c>
      <c r="I492" s="129" t="s">
        <v>20</v>
      </c>
      <c r="J492" s="817">
        <v>0</v>
      </c>
      <c r="K492" s="437">
        <f t="shared" si="155"/>
        <v>0</v>
      </c>
      <c r="L492" s="388"/>
      <c r="M492" s="821"/>
      <c r="N492" s="821"/>
      <c r="O492" s="821"/>
      <c r="P492" s="821"/>
      <c r="Q492" s="821"/>
      <c r="R492" s="821"/>
      <c r="S492" s="821"/>
      <c r="T492" s="821"/>
      <c r="U492" s="821"/>
      <c r="V492" s="821"/>
      <c r="W492" s="821"/>
      <c r="X492" s="821"/>
      <c r="Y492" s="821"/>
      <c r="Z492" s="821"/>
      <c r="AA492" s="821"/>
      <c r="AB492" s="821"/>
      <c r="AC492" s="821"/>
      <c r="AD492" s="821"/>
      <c r="AE492" s="821"/>
      <c r="AF492" s="821"/>
      <c r="AG492" s="821"/>
    </row>
    <row r="493" spans="1:33" s="822" customFormat="1" x14ac:dyDescent="0.2">
      <c r="A493" s="352">
        <f>IF(F493&lt;&gt;"",1+MAX($A$6:A492),"")</f>
        <v>403</v>
      </c>
      <c r="B493" s="367" t="s">
        <v>891</v>
      </c>
      <c r="C493" s="364"/>
      <c r="D493" s="368"/>
      <c r="E493" s="392" t="s">
        <v>908</v>
      </c>
      <c r="F493" s="738">
        <v>1</v>
      </c>
      <c r="G493" s="772">
        <v>0</v>
      </c>
      <c r="H493" s="128">
        <f t="shared" si="161"/>
        <v>1</v>
      </c>
      <c r="I493" s="129" t="s">
        <v>20</v>
      </c>
      <c r="J493" s="830">
        <f>J$461</f>
        <v>0</v>
      </c>
      <c r="K493" s="437">
        <f t="shared" si="155"/>
        <v>0</v>
      </c>
      <c r="L493" s="388"/>
      <c r="M493" s="821"/>
      <c r="N493" s="821"/>
      <c r="O493" s="821"/>
      <c r="P493" s="821"/>
      <c r="Q493" s="821"/>
      <c r="R493" s="821"/>
      <c r="S493" s="821"/>
      <c r="T493" s="821"/>
      <c r="U493" s="821"/>
      <c r="V493" s="821"/>
      <c r="W493" s="821"/>
      <c r="X493" s="821"/>
      <c r="Y493" s="821"/>
      <c r="Z493" s="821"/>
      <c r="AA493" s="821"/>
      <c r="AB493" s="821"/>
      <c r="AC493" s="821"/>
      <c r="AD493" s="821"/>
      <c r="AE493" s="821"/>
      <c r="AF493" s="821"/>
      <c r="AG493" s="821"/>
    </row>
    <row r="494" spans="1:33" s="822" customFormat="1" x14ac:dyDescent="0.2">
      <c r="A494" s="352">
        <f>IF(F494&lt;&gt;"",1+MAX($A$6:A493),"")</f>
        <v>404</v>
      </c>
      <c r="B494" s="367" t="s">
        <v>891</v>
      </c>
      <c r="C494" s="364"/>
      <c r="D494" s="368"/>
      <c r="E494" s="392" t="s">
        <v>900</v>
      </c>
      <c r="F494" s="738">
        <v>9</v>
      </c>
      <c r="G494" s="772">
        <v>0</v>
      </c>
      <c r="H494" s="128">
        <f t="shared" si="161"/>
        <v>9</v>
      </c>
      <c r="I494" s="129" t="s">
        <v>20</v>
      </c>
      <c r="J494" s="830">
        <f>J$448</f>
        <v>0</v>
      </c>
      <c r="K494" s="437">
        <f t="shared" si="155"/>
        <v>0</v>
      </c>
      <c r="L494" s="388"/>
      <c r="M494" s="821"/>
      <c r="N494" s="821"/>
      <c r="O494" s="821"/>
      <c r="P494" s="821"/>
      <c r="Q494" s="821"/>
      <c r="R494" s="821"/>
      <c r="S494" s="821"/>
      <c r="T494" s="821"/>
      <c r="U494" s="821"/>
      <c r="V494" s="821"/>
      <c r="W494" s="821"/>
      <c r="X494" s="821"/>
      <c r="Y494" s="821"/>
      <c r="Z494" s="821"/>
      <c r="AA494" s="821"/>
      <c r="AB494" s="821"/>
      <c r="AC494" s="821"/>
      <c r="AD494" s="821"/>
      <c r="AE494" s="821"/>
      <c r="AF494" s="821"/>
      <c r="AG494" s="821"/>
    </row>
    <row r="495" spans="1:33" s="822" customFormat="1" x14ac:dyDescent="0.2">
      <c r="A495" s="352">
        <f>IF(F495&lt;&gt;"",1+MAX($A$6:A494),"")</f>
        <v>405</v>
      </c>
      <c r="B495" s="367" t="s">
        <v>891</v>
      </c>
      <c r="C495" s="364"/>
      <c r="D495" s="368"/>
      <c r="E495" s="392" t="s">
        <v>909</v>
      </c>
      <c r="F495" s="738">
        <v>1</v>
      </c>
      <c r="G495" s="772">
        <v>0</v>
      </c>
      <c r="H495" s="128">
        <f t="shared" si="161"/>
        <v>1</v>
      </c>
      <c r="I495" s="129" t="s">
        <v>20</v>
      </c>
      <c r="J495" s="830">
        <f>J$463</f>
        <v>0</v>
      </c>
      <c r="K495" s="437">
        <f t="shared" si="155"/>
        <v>0</v>
      </c>
      <c r="L495" s="388"/>
      <c r="M495" s="821"/>
      <c r="N495" s="821"/>
      <c r="O495" s="821"/>
      <c r="P495" s="821"/>
      <c r="Q495" s="821"/>
      <c r="R495" s="821"/>
      <c r="S495" s="821"/>
      <c r="T495" s="821"/>
      <c r="U495" s="821"/>
      <c r="V495" s="821"/>
      <c r="W495" s="821"/>
      <c r="X495" s="821"/>
      <c r="Y495" s="821"/>
      <c r="Z495" s="821"/>
      <c r="AA495" s="821"/>
      <c r="AB495" s="821"/>
      <c r="AC495" s="821"/>
      <c r="AD495" s="821"/>
      <c r="AE495" s="821"/>
      <c r="AF495" s="821"/>
      <c r="AG495" s="821"/>
    </row>
    <row r="496" spans="1:33" s="822" customFormat="1" x14ac:dyDescent="0.2">
      <c r="A496" s="352">
        <f>IF(F496&lt;&gt;"",1+MAX($A$6:A495),"")</f>
        <v>406</v>
      </c>
      <c r="B496" s="367" t="s">
        <v>891</v>
      </c>
      <c r="C496" s="364"/>
      <c r="D496" s="368"/>
      <c r="E496" s="392" t="s">
        <v>912</v>
      </c>
      <c r="F496" s="738">
        <v>1</v>
      </c>
      <c r="G496" s="772">
        <v>0</v>
      </c>
      <c r="H496" s="128">
        <f t="shared" si="161"/>
        <v>1</v>
      </c>
      <c r="I496" s="129" t="s">
        <v>20</v>
      </c>
      <c r="J496" s="830">
        <f>J$467</f>
        <v>0</v>
      </c>
      <c r="K496" s="437">
        <f t="shared" si="155"/>
        <v>0</v>
      </c>
      <c r="L496" s="388"/>
      <c r="M496" s="821"/>
      <c r="N496" s="821"/>
      <c r="O496" s="821"/>
      <c r="P496" s="821"/>
      <c r="Q496" s="821"/>
      <c r="R496" s="821"/>
      <c r="S496" s="821"/>
      <c r="T496" s="821"/>
      <c r="U496" s="821"/>
      <c r="V496" s="821"/>
      <c r="W496" s="821"/>
      <c r="X496" s="821"/>
      <c r="Y496" s="821"/>
      <c r="Z496" s="821"/>
      <c r="AA496" s="821"/>
      <c r="AB496" s="821"/>
      <c r="AC496" s="821"/>
      <c r="AD496" s="821"/>
      <c r="AE496" s="821"/>
      <c r="AF496" s="821"/>
      <c r="AG496" s="821"/>
    </row>
    <row r="497" spans="1:33" s="822" customFormat="1" x14ac:dyDescent="0.2">
      <c r="A497" s="352">
        <f>IF(F497&lt;&gt;"",1+MAX($A$6:A496),"")</f>
        <v>407</v>
      </c>
      <c r="B497" s="367" t="s">
        <v>891</v>
      </c>
      <c r="C497" s="364"/>
      <c r="D497" s="368"/>
      <c r="E497" s="391" t="s">
        <v>921</v>
      </c>
      <c r="F497" s="738">
        <v>3</v>
      </c>
      <c r="G497" s="772">
        <v>0</v>
      </c>
      <c r="H497" s="128">
        <f t="shared" si="161"/>
        <v>3</v>
      </c>
      <c r="I497" s="129" t="s">
        <v>20</v>
      </c>
      <c r="J497" s="817">
        <v>0</v>
      </c>
      <c r="K497" s="437">
        <f t="shared" si="155"/>
        <v>0</v>
      </c>
      <c r="L497" s="388"/>
      <c r="M497" s="821"/>
      <c r="N497" s="821"/>
      <c r="O497" s="821"/>
      <c r="P497" s="821"/>
      <c r="Q497" s="821"/>
      <c r="R497" s="821"/>
      <c r="S497" s="821"/>
      <c r="T497" s="821"/>
      <c r="U497" s="821"/>
      <c r="V497" s="821"/>
      <c r="W497" s="821"/>
      <c r="X497" s="821"/>
      <c r="Y497" s="821"/>
      <c r="Z497" s="821"/>
      <c r="AA497" s="821"/>
      <c r="AB497" s="821"/>
      <c r="AC497" s="821"/>
      <c r="AD497" s="821"/>
      <c r="AE497" s="821"/>
      <c r="AF497" s="821"/>
      <c r="AG497" s="821"/>
    </row>
    <row r="498" spans="1:33" s="822" customFormat="1" x14ac:dyDescent="0.2">
      <c r="A498" s="352">
        <f>IF(F498&lt;&gt;"",1+MAX($A$6:A497),"")</f>
        <v>408</v>
      </c>
      <c r="B498" s="367" t="s">
        <v>891</v>
      </c>
      <c r="C498" s="364"/>
      <c r="D498" s="368"/>
      <c r="E498" s="392" t="s">
        <v>908</v>
      </c>
      <c r="F498" s="738">
        <v>3</v>
      </c>
      <c r="G498" s="772">
        <v>0</v>
      </c>
      <c r="H498" s="128">
        <f t="shared" si="161"/>
        <v>3</v>
      </c>
      <c r="I498" s="129" t="s">
        <v>20</v>
      </c>
      <c r="J498" s="830">
        <f>J$461</f>
        <v>0</v>
      </c>
      <c r="K498" s="437">
        <f t="shared" si="155"/>
        <v>0</v>
      </c>
      <c r="L498" s="388"/>
      <c r="M498" s="821"/>
      <c r="N498" s="821"/>
      <c r="O498" s="821"/>
      <c r="P498" s="821"/>
      <c r="Q498" s="821"/>
      <c r="R498" s="821"/>
      <c r="S498" s="821"/>
      <c r="T498" s="821"/>
      <c r="U498" s="821"/>
      <c r="V498" s="821"/>
      <c r="W498" s="821"/>
      <c r="X498" s="821"/>
      <c r="Y498" s="821"/>
      <c r="Z498" s="821"/>
      <c r="AA498" s="821"/>
      <c r="AB498" s="821"/>
      <c r="AC498" s="821"/>
      <c r="AD498" s="821"/>
      <c r="AE498" s="821"/>
      <c r="AF498" s="821"/>
      <c r="AG498" s="821"/>
    </row>
    <row r="499" spans="1:33" s="822" customFormat="1" x14ac:dyDescent="0.2">
      <c r="A499" s="352">
        <f>IF(F499&lt;&gt;"",1+MAX($A$6:A498),"")</f>
        <v>409</v>
      </c>
      <c r="B499" s="367" t="s">
        <v>891</v>
      </c>
      <c r="C499" s="364"/>
      <c r="D499" s="368"/>
      <c r="E499" s="392" t="s">
        <v>900</v>
      </c>
      <c r="F499" s="738">
        <v>27</v>
      </c>
      <c r="G499" s="772">
        <v>0</v>
      </c>
      <c r="H499" s="128">
        <f t="shared" si="161"/>
        <v>27</v>
      </c>
      <c r="I499" s="129" t="s">
        <v>20</v>
      </c>
      <c r="J499" s="830">
        <f>J$448</f>
        <v>0</v>
      </c>
      <c r="K499" s="437">
        <f t="shared" si="155"/>
        <v>0</v>
      </c>
      <c r="L499" s="388"/>
      <c r="M499" s="821"/>
      <c r="N499" s="821"/>
      <c r="O499" s="821"/>
      <c r="P499" s="821"/>
      <c r="Q499" s="821"/>
      <c r="R499" s="821"/>
      <c r="S499" s="821"/>
      <c r="T499" s="821"/>
      <c r="U499" s="821"/>
      <c r="V499" s="821"/>
      <c r="W499" s="821"/>
      <c r="X499" s="821"/>
      <c r="Y499" s="821"/>
      <c r="Z499" s="821"/>
      <c r="AA499" s="821"/>
      <c r="AB499" s="821"/>
      <c r="AC499" s="821"/>
      <c r="AD499" s="821"/>
      <c r="AE499" s="821"/>
      <c r="AF499" s="821"/>
      <c r="AG499" s="821"/>
    </row>
    <row r="500" spans="1:33" s="822" customFormat="1" x14ac:dyDescent="0.2">
      <c r="A500" s="352">
        <f>IF(F500&lt;&gt;"",1+MAX($A$6:A499),"")</f>
        <v>410</v>
      </c>
      <c r="B500" s="367" t="s">
        <v>891</v>
      </c>
      <c r="C500" s="364"/>
      <c r="D500" s="368"/>
      <c r="E500" s="392" t="s">
        <v>909</v>
      </c>
      <c r="F500" s="738">
        <v>3</v>
      </c>
      <c r="G500" s="772">
        <v>0</v>
      </c>
      <c r="H500" s="128">
        <f t="shared" si="161"/>
        <v>3</v>
      </c>
      <c r="I500" s="129" t="s">
        <v>20</v>
      </c>
      <c r="J500" s="830">
        <f>J$463</f>
        <v>0</v>
      </c>
      <c r="K500" s="437">
        <f t="shared" si="155"/>
        <v>0</v>
      </c>
      <c r="L500" s="388"/>
      <c r="M500" s="821"/>
      <c r="N500" s="821"/>
      <c r="O500" s="821"/>
      <c r="P500" s="821"/>
      <c r="Q500" s="821"/>
      <c r="R500" s="821"/>
      <c r="S500" s="821"/>
      <c r="T500" s="821"/>
      <c r="U500" s="821"/>
      <c r="V500" s="821"/>
      <c r="W500" s="821"/>
      <c r="X500" s="821"/>
      <c r="Y500" s="821"/>
      <c r="Z500" s="821"/>
      <c r="AA500" s="821"/>
      <c r="AB500" s="821"/>
      <c r="AC500" s="821"/>
      <c r="AD500" s="821"/>
      <c r="AE500" s="821"/>
      <c r="AF500" s="821"/>
      <c r="AG500" s="821"/>
    </row>
    <row r="501" spans="1:33" s="822" customFormat="1" x14ac:dyDescent="0.2">
      <c r="A501" s="352">
        <f>IF(F501&lt;&gt;"",1+MAX($A$6:A500),"")</f>
        <v>411</v>
      </c>
      <c r="B501" s="367" t="s">
        <v>891</v>
      </c>
      <c r="C501" s="364"/>
      <c r="D501" s="368"/>
      <c r="E501" s="392" t="s">
        <v>912</v>
      </c>
      <c r="F501" s="738">
        <v>3</v>
      </c>
      <c r="G501" s="772">
        <v>0</v>
      </c>
      <c r="H501" s="128">
        <f t="shared" si="161"/>
        <v>3</v>
      </c>
      <c r="I501" s="129" t="s">
        <v>20</v>
      </c>
      <c r="J501" s="830">
        <f>J$467</f>
        <v>0</v>
      </c>
      <c r="K501" s="437">
        <f t="shared" si="155"/>
        <v>0</v>
      </c>
      <c r="L501" s="388"/>
      <c r="M501" s="821"/>
      <c r="N501" s="821"/>
      <c r="O501" s="821"/>
      <c r="P501" s="821"/>
      <c r="Q501" s="821"/>
      <c r="R501" s="821"/>
      <c r="S501" s="821"/>
      <c r="T501" s="821"/>
      <c r="U501" s="821"/>
      <c r="V501" s="821"/>
      <c r="W501" s="821"/>
      <c r="X501" s="821"/>
      <c r="Y501" s="821"/>
      <c r="Z501" s="821"/>
      <c r="AA501" s="821"/>
      <c r="AB501" s="821"/>
      <c r="AC501" s="821"/>
      <c r="AD501" s="821"/>
      <c r="AE501" s="821"/>
      <c r="AF501" s="821"/>
      <c r="AG501" s="821"/>
    </row>
    <row r="502" spans="1:33" s="822" customFormat="1" x14ac:dyDescent="0.2">
      <c r="A502" s="352">
        <f>IF(F502&lt;&gt;"",1+MAX($A$6:A501),"")</f>
        <v>412</v>
      </c>
      <c r="B502" s="367" t="s">
        <v>891</v>
      </c>
      <c r="C502" s="364"/>
      <c r="D502" s="368"/>
      <c r="E502" s="391" t="s">
        <v>922</v>
      </c>
      <c r="F502" s="738">
        <v>14</v>
      </c>
      <c r="G502" s="772">
        <v>0</v>
      </c>
      <c r="H502" s="128">
        <f t="shared" si="161"/>
        <v>14</v>
      </c>
      <c r="I502" s="129" t="s">
        <v>20</v>
      </c>
      <c r="J502" s="817">
        <v>0</v>
      </c>
      <c r="K502" s="437">
        <f t="shared" si="155"/>
        <v>0</v>
      </c>
      <c r="L502" s="388"/>
      <c r="M502" s="821"/>
      <c r="N502" s="821"/>
      <c r="O502" s="821"/>
      <c r="P502" s="821"/>
      <c r="Q502" s="821"/>
      <c r="R502" s="821"/>
      <c r="S502" s="821"/>
      <c r="T502" s="821"/>
      <c r="U502" s="821"/>
      <c r="V502" s="821"/>
      <c r="W502" s="821"/>
      <c r="X502" s="821"/>
      <c r="Y502" s="821"/>
      <c r="Z502" s="821"/>
      <c r="AA502" s="821"/>
      <c r="AB502" s="821"/>
      <c r="AC502" s="821"/>
      <c r="AD502" s="821"/>
      <c r="AE502" s="821"/>
      <c r="AF502" s="821"/>
      <c r="AG502" s="821"/>
    </row>
    <row r="503" spans="1:33" s="822" customFormat="1" x14ac:dyDescent="0.2">
      <c r="A503" s="352">
        <f>IF(F503&lt;&gt;"",1+MAX($A$6:A502),"")</f>
        <v>413</v>
      </c>
      <c r="B503" s="367" t="s">
        <v>891</v>
      </c>
      <c r="C503" s="364"/>
      <c r="D503" s="368"/>
      <c r="E503" s="392" t="s">
        <v>908</v>
      </c>
      <c r="F503" s="738">
        <v>14</v>
      </c>
      <c r="G503" s="772">
        <v>0</v>
      </c>
      <c r="H503" s="128">
        <f t="shared" si="161"/>
        <v>14</v>
      </c>
      <c r="I503" s="129" t="s">
        <v>20</v>
      </c>
      <c r="J503" s="830">
        <f>J$461</f>
        <v>0</v>
      </c>
      <c r="K503" s="437">
        <f t="shared" si="155"/>
        <v>0</v>
      </c>
      <c r="L503" s="388"/>
      <c r="M503" s="821"/>
      <c r="N503" s="821"/>
      <c r="O503" s="821"/>
      <c r="P503" s="821"/>
      <c r="Q503" s="821"/>
      <c r="R503" s="821"/>
      <c r="S503" s="821"/>
      <c r="T503" s="821"/>
      <c r="U503" s="821"/>
      <c r="V503" s="821"/>
      <c r="W503" s="821"/>
      <c r="X503" s="821"/>
      <c r="Y503" s="821"/>
      <c r="Z503" s="821"/>
      <c r="AA503" s="821"/>
      <c r="AB503" s="821"/>
      <c r="AC503" s="821"/>
      <c r="AD503" s="821"/>
      <c r="AE503" s="821"/>
      <c r="AF503" s="821"/>
      <c r="AG503" s="821"/>
    </row>
    <row r="504" spans="1:33" s="822" customFormat="1" x14ac:dyDescent="0.2">
      <c r="A504" s="352">
        <f>IF(F504&lt;&gt;"",1+MAX($A$6:A503),"")</f>
        <v>414</v>
      </c>
      <c r="B504" s="367" t="s">
        <v>891</v>
      </c>
      <c r="C504" s="364"/>
      <c r="D504" s="368"/>
      <c r="E504" s="392" t="s">
        <v>900</v>
      </c>
      <c r="F504" s="738">
        <f>14*9</f>
        <v>126</v>
      </c>
      <c r="G504" s="772">
        <v>0</v>
      </c>
      <c r="H504" s="128">
        <f t="shared" si="161"/>
        <v>126</v>
      </c>
      <c r="I504" s="129" t="s">
        <v>20</v>
      </c>
      <c r="J504" s="830">
        <f>J$448</f>
        <v>0</v>
      </c>
      <c r="K504" s="437">
        <f t="shared" ref="K504:K521" si="163">J504*H504</f>
        <v>0</v>
      </c>
      <c r="L504" s="388"/>
      <c r="M504" s="821"/>
      <c r="N504" s="821"/>
      <c r="O504" s="821"/>
      <c r="P504" s="821"/>
      <c r="Q504" s="821"/>
      <c r="R504" s="821"/>
      <c r="S504" s="821"/>
      <c r="T504" s="821"/>
      <c r="U504" s="821"/>
      <c r="V504" s="821"/>
      <c r="W504" s="821"/>
      <c r="X504" s="821"/>
      <c r="Y504" s="821"/>
      <c r="Z504" s="821"/>
      <c r="AA504" s="821"/>
      <c r="AB504" s="821"/>
      <c r="AC504" s="821"/>
      <c r="AD504" s="821"/>
      <c r="AE504" s="821"/>
      <c r="AF504" s="821"/>
      <c r="AG504" s="821"/>
    </row>
    <row r="505" spans="1:33" s="822" customFormat="1" x14ac:dyDescent="0.2">
      <c r="A505" s="352">
        <f>IF(F505&lt;&gt;"",1+MAX($A$6:A504),"")</f>
        <v>415</v>
      </c>
      <c r="B505" s="367" t="s">
        <v>891</v>
      </c>
      <c r="C505" s="364"/>
      <c r="D505" s="368"/>
      <c r="E505" s="392" t="s">
        <v>906</v>
      </c>
      <c r="F505" s="738">
        <v>14</v>
      </c>
      <c r="G505" s="772">
        <v>0</v>
      </c>
      <c r="H505" s="128">
        <f t="shared" si="161"/>
        <v>14</v>
      </c>
      <c r="I505" s="129" t="s">
        <v>20</v>
      </c>
      <c r="J505" s="830">
        <f>J$459</f>
        <v>0</v>
      </c>
      <c r="K505" s="437">
        <f t="shared" si="163"/>
        <v>0</v>
      </c>
      <c r="L505" s="388"/>
      <c r="M505" s="821"/>
      <c r="N505" s="821"/>
      <c r="O505" s="821"/>
      <c r="P505" s="821"/>
      <c r="Q505" s="821"/>
      <c r="R505" s="821"/>
      <c r="S505" s="821"/>
      <c r="T505" s="821"/>
      <c r="U505" s="821"/>
      <c r="V505" s="821"/>
      <c r="W505" s="821"/>
      <c r="X505" s="821"/>
      <c r="Y505" s="821"/>
      <c r="Z505" s="821"/>
      <c r="AA505" s="821"/>
      <c r="AB505" s="821"/>
      <c r="AC505" s="821"/>
      <c r="AD505" s="821"/>
      <c r="AE505" s="821"/>
      <c r="AF505" s="821"/>
      <c r="AG505" s="821"/>
    </row>
    <row r="506" spans="1:33" s="822" customFormat="1" x14ac:dyDescent="0.2">
      <c r="A506" s="352">
        <f>IF(F506&lt;&gt;"",1+MAX($A$6:A505),"")</f>
        <v>416</v>
      </c>
      <c r="B506" s="367" t="s">
        <v>891</v>
      </c>
      <c r="C506" s="364"/>
      <c r="D506" s="368"/>
      <c r="E506" s="392" t="s">
        <v>912</v>
      </c>
      <c r="F506" s="738">
        <v>14</v>
      </c>
      <c r="G506" s="772">
        <v>0</v>
      </c>
      <c r="H506" s="128">
        <f t="shared" si="161"/>
        <v>14</v>
      </c>
      <c r="I506" s="129" t="s">
        <v>20</v>
      </c>
      <c r="J506" s="830">
        <f>J$467</f>
        <v>0</v>
      </c>
      <c r="K506" s="437">
        <f t="shared" si="163"/>
        <v>0</v>
      </c>
      <c r="L506" s="388"/>
      <c r="M506" s="821"/>
      <c r="N506" s="821"/>
      <c r="O506" s="821"/>
      <c r="P506" s="821"/>
      <c r="Q506" s="821"/>
      <c r="R506" s="821"/>
      <c r="S506" s="821"/>
      <c r="T506" s="821"/>
      <c r="U506" s="821"/>
      <c r="V506" s="821"/>
      <c r="W506" s="821"/>
      <c r="X506" s="821"/>
      <c r="Y506" s="821"/>
      <c r="Z506" s="821"/>
      <c r="AA506" s="821"/>
      <c r="AB506" s="821"/>
      <c r="AC506" s="821"/>
      <c r="AD506" s="821"/>
      <c r="AE506" s="821"/>
      <c r="AF506" s="821"/>
      <c r="AG506" s="821"/>
    </row>
    <row r="507" spans="1:33" s="822" customFormat="1" x14ac:dyDescent="0.2">
      <c r="A507" s="352">
        <f>IF(F507&lt;&gt;"",1+MAX($A$6:A506),"")</f>
        <v>417</v>
      </c>
      <c r="B507" s="367" t="s">
        <v>891</v>
      </c>
      <c r="C507" s="364"/>
      <c r="D507" s="368"/>
      <c r="E507" s="391" t="s">
        <v>923</v>
      </c>
      <c r="F507" s="738">
        <v>2</v>
      </c>
      <c r="G507" s="772">
        <v>0</v>
      </c>
      <c r="H507" s="128">
        <f t="shared" si="161"/>
        <v>2</v>
      </c>
      <c r="I507" s="129" t="s">
        <v>20</v>
      </c>
      <c r="J507" s="817">
        <v>0</v>
      </c>
      <c r="K507" s="437">
        <f t="shared" si="163"/>
        <v>0</v>
      </c>
      <c r="L507" s="388"/>
      <c r="M507" s="821"/>
      <c r="N507" s="821"/>
      <c r="O507" s="821"/>
      <c r="P507" s="821"/>
      <c r="Q507" s="821"/>
      <c r="R507" s="821"/>
      <c r="S507" s="821"/>
      <c r="T507" s="821"/>
      <c r="U507" s="821"/>
      <c r="V507" s="821"/>
      <c r="W507" s="821"/>
      <c r="X507" s="821"/>
      <c r="Y507" s="821"/>
      <c r="Z507" s="821"/>
      <c r="AA507" s="821"/>
      <c r="AB507" s="821"/>
      <c r="AC507" s="821"/>
      <c r="AD507" s="821"/>
      <c r="AE507" s="821"/>
      <c r="AF507" s="821"/>
      <c r="AG507" s="821"/>
    </row>
    <row r="508" spans="1:33" s="822" customFormat="1" x14ac:dyDescent="0.2">
      <c r="A508" s="352">
        <f>IF(F508&lt;&gt;"",1+MAX($A$6:A507),"")</f>
        <v>418</v>
      </c>
      <c r="B508" s="367" t="s">
        <v>891</v>
      </c>
      <c r="C508" s="364"/>
      <c r="D508" s="368"/>
      <c r="E508" s="392" t="s">
        <v>908</v>
      </c>
      <c r="F508" s="738">
        <v>2</v>
      </c>
      <c r="G508" s="772">
        <v>0</v>
      </c>
      <c r="H508" s="128">
        <f t="shared" si="161"/>
        <v>2</v>
      </c>
      <c r="I508" s="129" t="s">
        <v>20</v>
      </c>
      <c r="J508" s="830">
        <f>J$461</f>
        <v>0</v>
      </c>
      <c r="K508" s="437">
        <f t="shared" si="163"/>
        <v>0</v>
      </c>
      <c r="L508" s="388"/>
      <c r="M508" s="821"/>
      <c r="N508" s="821"/>
      <c r="O508" s="821"/>
      <c r="P508" s="821"/>
      <c r="Q508" s="821"/>
      <c r="R508" s="821"/>
      <c r="S508" s="821"/>
      <c r="T508" s="821"/>
      <c r="U508" s="821"/>
      <c r="V508" s="821"/>
      <c r="W508" s="821"/>
      <c r="X508" s="821"/>
      <c r="Y508" s="821"/>
      <c r="Z508" s="821"/>
      <c r="AA508" s="821"/>
      <c r="AB508" s="821"/>
      <c r="AC508" s="821"/>
      <c r="AD508" s="821"/>
      <c r="AE508" s="821"/>
      <c r="AF508" s="821"/>
      <c r="AG508" s="821"/>
    </row>
    <row r="509" spans="1:33" s="822" customFormat="1" x14ac:dyDescent="0.2">
      <c r="A509" s="352">
        <f>IF(F509&lt;&gt;"",1+MAX($A$6:A508),"")</f>
        <v>419</v>
      </c>
      <c r="B509" s="367" t="s">
        <v>891</v>
      </c>
      <c r="C509" s="364"/>
      <c r="D509" s="368"/>
      <c r="E509" s="392" t="s">
        <v>900</v>
      </c>
      <c r="F509" s="738">
        <v>18</v>
      </c>
      <c r="G509" s="772">
        <v>0</v>
      </c>
      <c r="H509" s="128">
        <f t="shared" si="161"/>
        <v>18</v>
      </c>
      <c r="I509" s="129" t="s">
        <v>20</v>
      </c>
      <c r="J509" s="830">
        <f>J$448</f>
        <v>0</v>
      </c>
      <c r="K509" s="437">
        <f t="shared" si="163"/>
        <v>0</v>
      </c>
      <c r="L509" s="388"/>
      <c r="M509" s="821"/>
      <c r="N509" s="821"/>
      <c r="O509" s="821"/>
      <c r="P509" s="821"/>
      <c r="Q509" s="821"/>
      <c r="R509" s="821"/>
      <c r="S509" s="821"/>
      <c r="T509" s="821"/>
      <c r="U509" s="821"/>
      <c r="V509" s="821"/>
      <c r="W509" s="821"/>
      <c r="X509" s="821"/>
      <c r="Y509" s="821"/>
      <c r="Z509" s="821"/>
      <c r="AA509" s="821"/>
      <c r="AB509" s="821"/>
      <c r="AC509" s="821"/>
      <c r="AD509" s="821"/>
      <c r="AE509" s="821"/>
      <c r="AF509" s="821"/>
      <c r="AG509" s="821"/>
    </row>
    <row r="510" spans="1:33" s="822" customFormat="1" x14ac:dyDescent="0.2">
      <c r="A510" s="352">
        <f>IF(F510&lt;&gt;"",1+MAX($A$6:A509),"")</f>
        <v>420</v>
      </c>
      <c r="B510" s="367" t="s">
        <v>891</v>
      </c>
      <c r="C510" s="364"/>
      <c r="D510" s="368"/>
      <c r="E510" s="392" t="s">
        <v>906</v>
      </c>
      <c r="F510" s="738">
        <v>2</v>
      </c>
      <c r="G510" s="772">
        <v>0</v>
      </c>
      <c r="H510" s="128">
        <f t="shared" si="161"/>
        <v>2</v>
      </c>
      <c r="I510" s="129" t="s">
        <v>20</v>
      </c>
      <c r="J510" s="830">
        <f>J$459</f>
        <v>0</v>
      </c>
      <c r="K510" s="437">
        <f t="shared" si="163"/>
        <v>0</v>
      </c>
      <c r="L510" s="388"/>
      <c r="M510" s="821"/>
      <c r="N510" s="821"/>
      <c r="O510" s="821"/>
      <c r="P510" s="821"/>
      <c r="Q510" s="821"/>
      <c r="R510" s="821"/>
      <c r="S510" s="821"/>
      <c r="T510" s="821"/>
      <c r="U510" s="821"/>
      <c r="V510" s="821"/>
      <c r="W510" s="821"/>
      <c r="X510" s="821"/>
      <c r="Y510" s="821"/>
      <c r="Z510" s="821"/>
      <c r="AA510" s="821"/>
      <c r="AB510" s="821"/>
      <c r="AC510" s="821"/>
      <c r="AD510" s="821"/>
      <c r="AE510" s="821"/>
      <c r="AF510" s="821"/>
      <c r="AG510" s="821"/>
    </row>
    <row r="511" spans="1:33" s="822" customFormat="1" x14ac:dyDescent="0.2">
      <c r="A511" s="352">
        <f>IF(F511&lt;&gt;"",1+MAX($A$6:A510),"")</f>
        <v>421</v>
      </c>
      <c r="B511" s="367" t="s">
        <v>891</v>
      </c>
      <c r="C511" s="364"/>
      <c r="D511" s="368"/>
      <c r="E511" s="392" t="s">
        <v>912</v>
      </c>
      <c r="F511" s="738">
        <v>2</v>
      </c>
      <c r="G511" s="772">
        <v>0</v>
      </c>
      <c r="H511" s="128">
        <f t="shared" si="161"/>
        <v>2</v>
      </c>
      <c r="I511" s="129" t="s">
        <v>20</v>
      </c>
      <c r="J511" s="830">
        <f>J$467</f>
        <v>0</v>
      </c>
      <c r="K511" s="437">
        <f t="shared" si="163"/>
        <v>0</v>
      </c>
      <c r="L511" s="388"/>
      <c r="M511" s="821"/>
      <c r="N511" s="821"/>
      <c r="O511" s="821"/>
      <c r="P511" s="821"/>
      <c r="Q511" s="821"/>
      <c r="R511" s="821"/>
      <c r="S511" s="821"/>
      <c r="T511" s="821"/>
      <c r="U511" s="821"/>
      <c r="V511" s="821"/>
      <c r="W511" s="821"/>
      <c r="X511" s="821"/>
      <c r="Y511" s="821"/>
      <c r="Z511" s="821"/>
      <c r="AA511" s="821"/>
      <c r="AB511" s="821"/>
      <c r="AC511" s="821"/>
      <c r="AD511" s="821"/>
      <c r="AE511" s="821"/>
      <c r="AF511" s="821"/>
      <c r="AG511" s="821"/>
    </row>
    <row r="512" spans="1:33" s="822" customFormat="1" x14ac:dyDescent="0.2">
      <c r="A512" s="352">
        <f>IF(F512&lt;&gt;"",1+MAX($A$6:A511),"")</f>
        <v>422</v>
      </c>
      <c r="B512" s="367" t="s">
        <v>891</v>
      </c>
      <c r="C512" s="364"/>
      <c r="D512" s="368"/>
      <c r="E512" s="391" t="s">
        <v>924</v>
      </c>
      <c r="F512" s="738">
        <v>3</v>
      </c>
      <c r="G512" s="772">
        <v>0</v>
      </c>
      <c r="H512" s="128">
        <f t="shared" si="161"/>
        <v>3</v>
      </c>
      <c r="I512" s="129" t="s">
        <v>20</v>
      </c>
      <c r="J512" s="817">
        <v>0</v>
      </c>
      <c r="K512" s="437">
        <f t="shared" si="163"/>
        <v>0</v>
      </c>
      <c r="L512" s="388"/>
      <c r="M512" s="821"/>
      <c r="N512" s="821"/>
      <c r="O512" s="821"/>
      <c r="P512" s="821"/>
      <c r="Q512" s="821"/>
      <c r="R512" s="821"/>
      <c r="S512" s="821"/>
      <c r="T512" s="821"/>
      <c r="U512" s="821"/>
      <c r="V512" s="821"/>
      <c r="W512" s="821"/>
      <c r="X512" s="821"/>
      <c r="Y512" s="821"/>
      <c r="Z512" s="821"/>
      <c r="AA512" s="821"/>
      <c r="AB512" s="821"/>
      <c r="AC512" s="821"/>
      <c r="AD512" s="821"/>
      <c r="AE512" s="821"/>
      <c r="AF512" s="821"/>
      <c r="AG512" s="821"/>
    </row>
    <row r="513" spans="1:33" s="822" customFormat="1" x14ac:dyDescent="0.2">
      <c r="A513" s="352">
        <f>IF(F513&lt;&gt;"",1+MAX($A$6:A512),"")</f>
        <v>423</v>
      </c>
      <c r="B513" s="367" t="s">
        <v>891</v>
      </c>
      <c r="C513" s="364"/>
      <c r="D513" s="368"/>
      <c r="E513" s="392" t="s">
        <v>908</v>
      </c>
      <c r="F513" s="738">
        <v>3</v>
      </c>
      <c r="G513" s="772">
        <v>0</v>
      </c>
      <c r="H513" s="128">
        <f t="shared" si="161"/>
        <v>3</v>
      </c>
      <c r="I513" s="129" t="s">
        <v>20</v>
      </c>
      <c r="J513" s="830">
        <f>J$461</f>
        <v>0</v>
      </c>
      <c r="K513" s="437">
        <f t="shared" si="163"/>
        <v>0</v>
      </c>
      <c r="L513" s="388"/>
      <c r="M513" s="821"/>
      <c r="N513" s="821"/>
      <c r="O513" s="821"/>
      <c r="P513" s="821"/>
      <c r="Q513" s="821"/>
      <c r="R513" s="821"/>
      <c r="S513" s="821"/>
      <c r="T513" s="821"/>
      <c r="U513" s="821"/>
      <c r="V513" s="821"/>
      <c r="W513" s="821"/>
      <c r="X513" s="821"/>
      <c r="Y513" s="821"/>
      <c r="Z513" s="821"/>
      <c r="AA513" s="821"/>
      <c r="AB513" s="821"/>
      <c r="AC513" s="821"/>
      <c r="AD513" s="821"/>
      <c r="AE513" s="821"/>
      <c r="AF513" s="821"/>
      <c r="AG513" s="821"/>
    </row>
    <row r="514" spans="1:33" s="822" customFormat="1" x14ac:dyDescent="0.2">
      <c r="A514" s="352">
        <f>IF(F514&lt;&gt;"",1+MAX($A$6:A513),"")</f>
        <v>424</v>
      </c>
      <c r="B514" s="367" t="s">
        <v>891</v>
      </c>
      <c r="C514" s="364"/>
      <c r="D514" s="368"/>
      <c r="E514" s="392" t="s">
        <v>900</v>
      </c>
      <c r="F514" s="738">
        <v>27</v>
      </c>
      <c r="G514" s="772">
        <v>0</v>
      </c>
      <c r="H514" s="128">
        <f t="shared" si="161"/>
        <v>27</v>
      </c>
      <c r="I514" s="129" t="s">
        <v>20</v>
      </c>
      <c r="J514" s="830">
        <f>J$448</f>
        <v>0</v>
      </c>
      <c r="K514" s="437">
        <f t="shared" si="163"/>
        <v>0</v>
      </c>
      <c r="L514" s="388"/>
      <c r="M514" s="821"/>
      <c r="N514" s="821"/>
      <c r="O514" s="821"/>
      <c r="P514" s="821"/>
      <c r="Q514" s="821"/>
      <c r="R514" s="821"/>
      <c r="S514" s="821"/>
      <c r="T514" s="821"/>
      <c r="U514" s="821"/>
      <c r="V514" s="821"/>
      <c r="W514" s="821"/>
      <c r="X514" s="821"/>
      <c r="Y514" s="821"/>
      <c r="Z514" s="821"/>
      <c r="AA514" s="821"/>
      <c r="AB514" s="821"/>
      <c r="AC514" s="821"/>
      <c r="AD514" s="821"/>
      <c r="AE514" s="821"/>
      <c r="AF514" s="821"/>
      <c r="AG514" s="821"/>
    </row>
    <row r="515" spans="1:33" s="822" customFormat="1" x14ac:dyDescent="0.2">
      <c r="A515" s="352">
        <f>IF(F515&lt;&gt;"",1+MAX($A$6:A514),"")</f>
        <v>425</v>
      </c>
      <c r="B515" s="367" t="s">
        <v>891</v>
      </c>
      <c r="C515" s="364"/>
      <c r="D515" s="368"/>
      <c r="E515" s="392" t="s">
        <v>906</v>
      </c>
      <c r="F515" s="738">
        <v>3</v>
      </c>
      <c r="G515" s="772">
        <v>0</v>
      </c>
      <c r="H515" s="128">
        <f t="shared" si="161"/>
        <v>3</v>
      </c>
      <c r="I515" s="129" t="s">
        <v>20</v>
      </c>
      <c r="J515" s="830">
        <f>J$459</f>
        <v>0</v>
      </c>
      <c r="K515" s="437">
        <f t="shared" si="163"/>
        <v>0</v>
      </c>
      <c r="L515" s="388"/>
      <c r="M515" s="821"/>
      <c r="N515" s="821"/>
      <c r="O515" s="821"/>
      <c r="P515" s="821"/>
      <c r="Q515" s="821"/>
      <c r="R515" s="821"/>
      <c r="S515" s="821"/>
      <c r="T515" s="821"/>
      <c r="U515" s="821"/>
      <c r="V515" s="821"/>
      <c r="W515" s="821"/>
      <c r="X515" s="821"/>
      <c r="Y515" s="821"/>
      <c r="Z515" s="821"/>
      <c r="AA515" s="821"/>
      <c r="AB515" s="821"/>
      <c r="AC515" s="821"/>
      <c r="AD515" s="821"/>
      <c r="AE515" s="821"/>
      <c r="AF515" s="821"/>
      <c r="AG515" s="821"/>
    </row>
    <row r="516" spans="1:33" s="822" customFormat="1" x14ac:dyDescent="0.2">
      <c r="A516" s="352">
        <f>IF(F516&lt;&gt;"",1+MAX($A$6:A515),"")</f>
        <v>426</v>
      </c>
      <c r="B516" s="367" t="s">
        <v>891</v>
      </c>
      <c r="C516" s="364"/>
      <c r="D516" s="368"/>
      <c r="E516" s="392" t="s">
        <v>912</v>
      </c>
      <c r="F516" s="738">
        <v>3</v>
      </c>
      <c r="G516" s="772">
        <v>0</v>
      </c>
      <c r="H516" s="128">
        <f t="shared" si="161"/>
        <v>3</v>
      </c>
      <c r="I516" s="129" t="s">
        <v>20</v>
      </c>
      <c r="J516" s="830">
        <f>J$467</f>
        <v>0</v>
      </c>
      <c r="K516" s="437">
        <f t="shared" si="163"/>
        <v>0</v>
      </c>
      <c r="L516" s="388"/>
      <c r="M516" s="821"/>
      <c r="N516" s="821"/>
      <c r="O516" s="821"/>
      <c r="P516" s="821"/>
      <c r="Q516" s="821"/>
      <c r="R516" s="821"/>
      <c r="S516" s="821"/>
      <c r="T516" s="821"/>
      <c r="U516" s="821"/>
      <c r="V516" s="821"/>
      <c r="W516" s="821"/>
      <c r="X516" s="821"/>
      <c r="Y516" s="821"/>
      <c r="Z516" s="821"/>
      <c r="AA516" s="821"/>
      <c r="AB516" s="821"/>
      <c r="AC516" s="821"/>
      <c r="AD516" s="821"/>
      <c r="AE516" s="821"/>
      <c r="AF516" s="821"/>
      <c r="AG516" s="821"/>
    </row>
    <row r="517" spans="1:33" s="822" customFormat="1" x14ac:dyDescent="0.2">
      <c r="A517" s="352">
        <f>IF(F517&lt;&gt;"",1+MAX($A$6:A516),"")</f>
        <v>427</v>
      </c>
      <c r="B517" s="367" t="s">
        <v>891</v>
      </c>
      <c r="C517" s="364"/>
      <c r="D517" s="368"/>
      <c r="E517" s="391" t="s">
        <v>925</v>
      </c>
      <c r="F517" s="738">
        <v>1</v>
      </c>
      <c r="G517" s="772">
        <v>0</v>
      </c>
      <c r="H517" s="128">
        <f t="shared" si="161"/>
        <v>1</v>
      </c>
      <c r="I517" s="129" t="s">
        <v>20</v>
      </c>
      <c r="J517" s="817">
        <v>0</v>
      </c>
      <c r="K517" s="437">
        <f t="shared" si="163"/>
        <v>0</v>
      </c>
      <c r="L517" s="388"/>
      <c r="M517" s="821"/>
      <c r="N517" s="821"/>
      <c r="O517" s="821"/>
      <c r="P517" s="821"/>
      <c r="Q517" s="821"/>
      <c r="R517" s="821"/>
      <c r="S517" s="821"/>
      <c r="T517" s="821"/>
      <c r="U517" s="821"/>
      <c r="V517" s="821"/>
      <c r="W517" s="821"/>
      <c r="X517" s="821"/>
      <c r="Y517" s="821"/>
      <c r="Z517" s="821"/>
      <c r="AA517" s="821"/>
      <c r="AB517" s="821"/>
      <c r="AC517" s="821"/>
      <c r="AD517" s="821"/>
      <c r="AE517" s="821"/>
      <c r="AF517" s="821"/>
      <c r="AG517" s="821"/>
    </row>
    <row r="518" spans="1:33" s="822" customFormat="1" x14ac:dyDescent="0.2">
      <c r="A518" s="352">
        <f>IF(F518&lt;&gt;"",1+MAX($A$6:A517),"")</f>
        <v>428</v>
      </c>
      <c r="B518" s="367" t="s">
        <v>891</v>
      </c>
      <c r="C518" s="364"/>
      <c r="D518" s="368"/>
      <c r="E518" s="392" t="s">
        <v>908</v>
      </c>
      <c r="F518" s="738">
        <v>1</v>
      </c>
      <c r="G518" s="772">
        <v>0</v>
      </c>
      <c r="H518" s="128">
        <f t="shared" si="161"/>
        <v>1</v>
      </c>
      <c r="I518" s="129" t="s">
        <v>20</v>
      </c>
      <c r="J518" s="830">
        <f>J$461</f>
        <v>0</v>
      </c>
      <c r="K518" s="437">
        <f t="shared" si="163"/>
        <v>0</v>
      </c>
      <c r="L518" s="388"/>
      <c r="M518" s="821"/>
      <c r="N518" s="821"/>
      <c r="O518" s="821"/>
      <c r="P518" s="821"/>
      <c r="Q518" s="821"/>
      <c r="R518" s="821"/>
      <c r="S518" s="821"/>
      <c r="T518" s="821"/>
      <c r="U518" s="821"/>
      <c r="V518" s="821"/>
      <c r="W518" s="821"/>
      <c r="X518" s="821"/>
      <c r="Y518" s="821"/>
      <c r="Z518" s="821"/>
      <c r="AA518" s="821"/>
      <c r="AB518" s="821"/>
      <c r="AC518" s="821"/>
      <c r="AD518" s="821"/>
      <c r="AE518" s="821"/>
      <c r="AF518" s="821"/>
      <c r="AG518" s="821"/>
    </row>
    <row r="519" spans="1:33" s="822" customFormat="1" x14ac:dyDescent="0.2">
      <c r="A519" s="352">
        <f>IF(F519&lt;&gt;"",1+MAX($A$6:A518),"")</f>
        <v>429</v>
      </c>
      <c r="B519" s="367" t="s">
        <v>891</v>
      </c>
      <c r="C519" s="364"/>
      <c r="D519" s="368"/>
      <c r="E519" s="392" t="s">
        <v>900</v>
      </c>
      <c r="F519" s="738">
        <v>10</v>
      </c>
      <c r="G519" s="772">
        <v>0</v>
      </c>
      <c r="H519" s="128">
        <f t="shared" si="161"/>
        <v>10</v>
      </c>
      <c r="I519" s="129" t="s">
        <v>20</v>
      </c>
      <c r="J519" s="830">
        <f>J$448</f>
        <v>0</v>
      </c>
      <c r="K519" s="437">
        <f t="shared" si="163"/>
        <v>0</v>
      </c>
      <c r="L519" s="388"/>
      <c r="M519" s="821"/>
      <c r="N519" s="821"/>
      <c r="O519" s="821"/>
      <c r="P519" s="821"/>
      <c r="Q519" s="821"/>
      <c r="R519" s="821"/>
      <c r="S519" s="821"/>
      <c r="T519" s="821"/>
      <c r="U519" s="821"/>
      <c r="V519" s="821"/>
      <c r="W519" s="821"/>
      <c r="X519" s="821"/>
      <c r="Y519" s="821"/>
      <c r="Z519" s="821"/>
      <c r="AA519" s="821"/>
      <c r="AB519" s="821"/>
      <c r="AC519" s="821"/>
      <c r="AD519" s="821"/>
      <c r="AE519" s="821"/>
      <c r="AF519" s="821"/>
      <c r="AG519" s="821"/>
    </row>
    <row r="520" spans="1:33" s="822" customFormat="1" x14ac:dyDescent="0.2">
      <c r="A520" s="352">
        <f>IF(F520&lt;&gt;"",1+MAX($A$6:A519),"")</f>
        <v>430</v>
      </c>
      <c r="B520" s="367" t="s">
        <v>891</v>
      </c>
      <c r="C520" s="364"/>
      <c r="D520" s="368"/>
      <c r="E520" s="392" t="s">
        <v>906</v>
      </c>
      <c r="F520" s="738">
        <v>2</v>
      </c>
      <c r="G520" s="772">
        <v>0</v>
      </c>
      <c r="H520" s="128">
        <f t="shared" si="161"/>
        <v>2</v>
      </c>
      <c r="I520" s="129" t="s">
        <v>20</v>
      </c>
      <c r="J520" s="830">
        <f>J$459</f>
        <v>0</v>
      </c>
      <c r="K520" s="437">
        <f t="shared" si="163"/>
        <v>0</v>
      </c>
      <c r="L520" s="388"/>
      <c r="M520" s="821"/>
      <c r="N520" s="821"/>
      <c r="O520" s="821"/>
      <c r="P520" s="821"/>
      <c r="Q520" s="821"/>
      <c r="R520" s="821"/>
      <c r="S520" s="821"/>
      <c r="T520" s="821"/>
      <c r="U520" s="821"/>
      <c r="V520" s="821"/>
      <c r="W520" s="821"/>
      <c r="X520" s="821"/>
      <c r="Y520" s="821"/>
      <c r="Z520" s="821"/>
      <c r="AA520" s="821"/>
      <c r="AB520" s="821"/>
      <c r="AC520" s="821"/>
      <c r="AD520" s="821"/>
      <c r="AE520" s="821"/>
      <c r="AF520" s="821"/>
      <c r="AG520" s="821"/>
    </row>
    <row r="521" spans="1:33" s="822" customFormat="1" x14ac:dyDescent="0.2">
      <c r="A521" s="352">
        <f>IF(F521&lt;&gt;"",1+MAX($A$6:A520),"")</f>
        <v>431</v>
      </c>
      <c r="B521" s="367" t="s">
        <v>891</v>
      </c>
      <c r="C521" s="364"/>
      <c r="D521" s="368"/>
      <c r="E521" s="392" t="s">
        <v>912</v>
      </c>
      <c r="F521" s="738">
        <v>1</v>
      </c>
      <c r="G521" s="772">
        <v>0</v>
      </c>
      <c r="H521" s="128">
        <f t="shared" si="161"/>
        <v>1</v>
      </c>
      <c r="I521" s="129" t="s">
        <v>20</v>
      </c>
      <c r="J521" s="830">
        <f>J$467</f>
        <v>0</v>
      </c>
      <c r="K521" s="437">
        <f t="shared" si="163"/>
        <v>0</v>
      </c>
      <c r="L521" s="388"/>
      <c r="M521" s="821"/>
      <c r="N521" s="821"/>
      <c r="O521" s="821"/>
      <c r="P521" s="821"/>
      <c r="Q521" s="821"/>
      <c r="R521" s="821"/>
      <c r="S521" s="821"/>
      <c r="T521" s="821"/>
      <c r="U521" s="821"/>
      <c r="V521" s="821"/>
      <c r="W521" s="821"/>
      <c r="X521" s="821"/>
      <c r="Y521" s="821"/>
      <c r="Z521" s="821"/>
      <c r="AA521" s="821"/>
      <c r="AB521" s="821"/>
      <c r="AC521" s="821"/>
      <c r="AD521" s="821"/>
      <c r="AE521" s="821"/>
      <c r="AF521" s="821"/>
      <c r="AG521" s="821"/>
    </row>
    <row r="522" spans="1:33" s="822" customFormat="1" ht="16.5" thickBot="1" x14ac:dyDescent="0.25">
      <c r="A522" s="352" t="str">
        <f>IF(F522&lt;&gt;"",1+MAX($A$6:A521),"")</f>
        <v/>
      </c>
      <c r="B522" s="823"/>
      <c r="C522" s="823"/>
      <c r="D522" s="824"/>
      <c r="E522" s="825"/>
      <c r="F522" s="826"/>
      <c r="G522" s="827"/>
      <c r="H522" s="828"/>
      <c r="I522" s="829"/>
      <c r="J522" s="389"/>
      <c r="K522" s="390"/>
      <c r="L522" s="388"/>
      <c r="M522" s="821"/>
      <c r="N522" s="821"/>
      <c r="O522" s="821"/>
      <c r="P522" s="821"/>
      <c r="Q522" s="821"/>
      <c r="R522" s="821"/>
      <c r="S522" s="821"/>
      <c r="T522" s="821"/>
      <c r="U522" s="821"/>
      <c r="V522" s="821"/>
      <c r="W522" s="821"/>
      <c r="X522" s="821"/>
      <c r="Y522" s="821"/>
      <c r="Z522" s="821"/>
      <c r="AA522" s="821"/>
      <c r="AB522" s="821"/>
      <c r="AC522" s="821"/>
      <c r="AD522" s="821"/>
      <c r="AE522" s="821"/>
      <c r="AF522" s="821"/>
      <c r="AG522" s="821"/>
    </row>
    <row r="523" spans="1:33" ht="16.5" customHeight="1" thickBot="1" x14ac:dyDescent="0.25">
      <c r="A523" s="352" t="str">
        <f>IF(F523&lt;&gt;"",1+MAX($A$6:A522),"")</f>
        <v/>
      </c>
      <c r="B523" s="123"/>
      <c r="C523" s="364"/>
      <c r="D523" s="365"/>
      <c r="E523" s="366" t="s">
        <v>926</v>
      </c>
      <c r="F523" s="435"/>
      <c r="G523" s="431"/>
      <c r="H523" s="430"/>
      <c r="I523" s="432"/>
      <c r="J523" s="134"/>
      <c r="K523" s="428"/>
      <c r="L523" s="429"/>
      <c r="M523" s="345"/>
      <c r="N523" s="345"/>
      <c r="O523" s="345"/>
      <c r="P523" s="345"/>
      <c r="Q523" s="345"/>
      <c r="R523" s="343"/>
      <c r="S523" s="343"/>
      <c r="T523" s="343"/>
      <c r="U523" s="343"/>
      <c r="V523" s="343"/>
      <c r="W523" s="343"/>
    </row>
    <row r="524" spans="1:33" s="822" customFormat="1" ht="31.5" x14ac:dyDescent="0.2">
      <c r="A524" s="352">
        <f>IF(F524&lt;&gt;"",1+MAX($A$6:A523),"")</f>
        <v>432</v>
      </c>
      <c r="B524" s="367"/>
      <c r="C524" s="364"/>
      <c r="D524" s="368"/>
      <c r="E524" s="733" t="s">
        <v>927</v>
      </c>
      <c r="F524" s="738">
        <v>1</v>
      </c>
      <c r="G524" s="772">
        <v>0</v>
      </c>
      <c r="H524" s="128">
        <f>F524*(1+G524)</f>
        <v>1</v>
      </c>
      <c r="I524" s="129" t="s">
        <v>27</v>
      </c>
      <c r="J524" s="817">
        <v>0</v>
      </c>
      <c r="K524" s="437">
        <f>J524*H524</f>
        <v>0</v>
      </c>
      <c r="L524" s="388"/>
      <c r="M524" s="821"/>
      <c r="N524" s="821"/>
      <c r="O524" s="821"/>
      <c r="P524" s="821"/>
      <c r="Q524" s="821"/>
      <c r="R524" s="821"/>
      <c r="S524" s="821"/>
      <c r="T524" s="821"/>
      <c r="U524" s="821"/>
      <c r="V524" s="821"/>
      <c r="W524" s="821"/>
      <c r="X524" s="821"/>
      <c r="Y524" s="821"/>
      <c r="Z524" s="821"/>
      <c r="AA524" s="821"/>
      <c r="AB524" s="821"/>
      <c r="AC524" s="821"/>
      <c r="AD524" s="821"/>
      <c r="AE524" s="821"/>
      <c r="AF524" s="821"/>
      <c r="AG524" s="821"/>
    </row>
    <row r="525" spans="1:33" ht="16.5" thickBot="1" x14ac:dyDescent="0.25">
      <c r="A525" s="352" t="str">
        <f>IF(F525&lt;&gt;"",1+MAX($A$6:A524),"")</f>
        <v/>
      </c>
      <c r="B525" s="367"/>
      <c r="C525" s="364"/>
      <c r="D525" s="368"/>
      <c r="E525" s="379"/>
      <c r="F525" s="440"/>
      <c r="G525" s="441"/>
      <c r="H525" s="442"/>
      <c r="I525" s="443"/>
      <c r="J525" s="444"/>
      <c r="K525" s="445"/>
      <c r="L525" s="429"/>
      <c r="M525" s="343"/>
      <c r="N525" s="343"/>
      <c r="O525" s="343"/>
      <c r="P525" s="343"/>
      <c r="Q525" s="343"/>
      <c r="R525" s="343"/>
      <c r="S525" s="343"/>
      <c r="T525" s="343"/>
      <c r="U525" s="343"/>
      <c r="V525" s="343"/>
      <c r="W525" s="343"/>
    </row>
    <row r="526" spans="1:33" ht="16.5" thickBot="1" x14ac:dyDescent="0.25">
      <c r="A526" s="352" t="str">
        <f>IF(F526&lt;&gt;"",1+MAX($A$6:A525),"")</f>
        <v/>
      </c>
      <c r="B526" s="141"/>
      <c r="C526" s="364"/>
      <c r="D526" s="370"/>
      <c r="E526" s="371" t="s">
        <v>928</v>
      </c>
      <c r="F526" s="430"/>
      <c r="G526" s="431"/>
      <c r="H526" s="430"/>
      <c r="I526" s="432"/>
      <c r="J526" s="134"/>
      <c r="K526" s="433"/>
      <c r="L526" s="446">
        <f>SUM(K364:K525)</f>
        <v>0</v>
      </c>
      <c r="M526" s="380"/>
      <c r="N526" s="343"/>
      <c r="O526" s="343"/>
      <c r="P526" s="343"/>
      <c r="Q526" s="343"/>
      <c r="R526" s="343"/>
      <c r="S526" s="343"/>
      <c r="T526" s="343"/>
      <c r="U526" s="343"/>
      <c r="V526" s="343"/>
      <c r="W526" s="343"/>
    </row>
    <row r="527" spans="1:33" s="822" customFormat="1" ht="16.5" thickBot="1" x14ac:dyDescent="0.25">
      <c r="A527" s="687" t="str">
        <f>IF(F527&lt;&gt;"",1+MAX($A$6:A526),"")</f>
        <v/>
      </c>
      <c r="B527" s="831"/>
      <c r="C527" s="831"/>
      <c r="D527" s="832"/>
      <c r="E527" s="833"/>
      <c r="F527" s="834"/>
      <c r="G527" s="835"/>
      <c r="H527" s="836"/>
      <c r="I527" s="837"/>
      <c r="J527" s="688"/>
      <c r="K527" s="689"/>
      <c r="L527" s="388"/>
      <c r="M527" s="821"/>
      <c r="N527" s="821"/>
      <c r="O527" s="821"/>
      <c r="P527" s="821"/>
      <c r="Q527" s="821"/>
      <c r="R527" s="821"/>
      <c r="S527" s="821"/>
      <c r="T527" s="821"/>
      <c r="U527" s="821"/>
      <c r="V527" s="821"/>
      <c r="W527" s="821"/>
      <c r="X527" s="821"/>
      <c r="Y527" s="821"/>
      <c r="Z527" s="821"/>
      <c r="AA527" s="821"/>
      <c r="AB527" s="821"/>
      <c r="AC527" s="821"/>
      <c r="AD527" s="821"/>
      <c r="AE527" s="821"/>
      <c r="AF527" s="821"/>
      <c r="AG527" s="821"/>
    </row>
    <row r="528" spans="1:33" s="595" customFormat="1" ht="16.5" thickBot="1" x14ac:dyDescent="0.25">
      <c r="A528" s="838" t="s">
        <v>14</v>
      </c>
      <c r="B528" s="839"/>
      <c r="C528" s="840"/>
      <c r="D528" s="840"/>
      <c r="E528" s="841"/>
      <c r="F528" s="842"/>
      <c r="G528" s="843"/>
      <c r="H528" s="843"/>
      <c r="I528" s="844"/>
      <c r="J528" s="331"/>
      <c r="K528" s="845">
        <f>(SUM(K6:K527))/1</f>
        <v>0</v>
      </c>
      <c r="L528" s="846">
        <f>(SUM(L6:L527))/1</f>
        <v>0</v>
      </c>
    </row>
    <row r="529" spans="1:23" s="595" customFormat="1" ht="16.5" thickBot="1" x14ac:dyDescent="0.25">
      <c r="A529" s="606" t="s">
        <v>929</v>
      </c>
      <c r="B529" s="847"/>
      <c r="C529" s="607"/>
      <c r="D529" s="607"/>
      <c r="E529" s="608"/>
      <c r="F529" s="609"/>
      <c r="G529" s="610"/>
      <c r="H529" s="96"/>
      <c r="I529" s="607"/>
      <c r="J529" s="644"/>
      <c r="K529" s="612">
        <f>SUM(K528:K528)</f>
        <v>0</v>
      </c>
      <c r="L529" s="613">
        <f>SUM(L528:L528)</f>
        <v>0</v>
      </c>
    </row>
    <row r="530" spans="1:23" x14ac:dyDescent="0.2">
      <c r="A530" s="393"/>
      <c r="B530" s="394"/>
      <c r="C530" s="394"/>
      <c r="D530" s="394"/>
      <c r="E530" s="395"/>
      <c r="F530" s="394"/>
      <c r="G530" s="394"/>
      <c r="H530" s="394"/>
      <c r="I530" s="394"/>
      <c r="J530" s="451"/>
      <c r="K530" s="398"/>
      <c r="L530" s="398"/>
      <c r="M530" s="343"/>
      <c r="N530" s="343"/>
      <c r="O530" s="343"/>
      <c r="P530" s="343"/>
      <c r="Q530" s="343"/>
      <c r="R530" s="343"/>
      <c r="S530" s="343"/>
      <c r="T530" s="343"/>
      <c r="U530" s="343"/>
      <c r="V530" s="343"/>
      <c r="W530" s="343"/>
    </row>
    <row r="531" spans="1:23" x14ac:dyDescent="0.2">
      <c r="A531" s="393"/>
      <c r="B531" s="394"/>
      <c r="C531" s="394"/>
      <c r="D531" s="394"/>
      <c r="E531" s="396"/>
      <c r="F531" s="394"/>
      <c r="G531" s="394"/>
      <c r="H531" s="394"/>
      <c r="I531" s="394"/>
      <c r="J531" s="451"/>
      <c r="K531" s="398"/>
      <c r="L531" s="398"/>
      <c r="M531" s="343"/>
      <c r="N531" s="343"/>
      <c r="O531" s="343"/>
      <c r="P531" s="343"/>
      <c r="Q531" s="343"/>
      <c r="R531" s="343"/>
      <c r="S531" s="343"/>
      <c r="T531" s="343"/>
      <c r="U531" s="343"/>
      <c r="V531" s="343"/>
      <c r="W531" s="343"/>
    </row>
    <row r="532" spans="1:23" x14ac:dyDescent="0.2">
      <c r="A532" s="393"/>
      <c r="B532" s="394"/>
      <c r="C532" s="394"/>
      <c r="D532" s="394"/>
      <c r="E532" s="396"/>
      <c r="F532" s="394"/>
      <c r="G532" s="394"/>
      <c r="H532" s="394"/>
      <c r="I532" s="394"/>
      <c r="J532" s="451"/>
      <c r="K532" s="398"/>
      <c r="L532" s="398"/>
      <c r="M532" s="343"/>
      <c r="N532" s="343"/>
      <c r="O532" s="343"/>
      <c r="P532" s="343"/>
      <c r="Q532" s="343"/>
      <c r="R532" s="343"/>
      <c r="S532" s="343"/>
      <c r="T532" s="343"/>
      <c r="U532" s="343"/>
      <c r="V532" s="343"/>
      <c r="W532" s="343"/>
    </row>
    <row r="533" spans="1:23" x14ac:dyDescent="0.2">
      <c r="A533" s="393"/>
      <c r="B533" s="394"/>
      <c r="C533" s="394"/>
      <c r="D533" s="394"/>
      <c r="E533" s="396"/>
      <c r="F533" s="394"/>
      <c r="G533" s="394"/>
      <c r="H533" s="394"/>
      <c r="I533" s="394"/>
      <c r="J533" s="451"/>
      <c r="K533" s="398"/>
      <c r="L533" s="398"/>
      <c r="M533" s="343"/>
      <c r="N533" s="343"/>
      <c r="O533" s="343"/>
      <c r="P533" s="343"/>
      <c r="Q533" s="343"/>
      <c r="R533" s="343"/>
      <c r="S533" s="343"/>
      <c r="T533" s="343"/>
      <c r="U533" s="343"/>
      <c r="V533" s="343"/>
      <c r="W533" s="343"/>
    </row>
    <row r="534" spans="1:23" x14ac:dyDescent="0.2">
      <c r="A534" s="393"/>
      <c r="B534" s="394"/>
      <c r="C534" s="394"/>
      <c r="D534" s="394"/>
      <c r="E534" s="394"/>
      <c r="F534" s="394"/>
      <c r="G534" s="394"/>
      <c r="H534" s="394"/>
      <c r="I534" s="394"/>
      <c r="J534" s="451"/>
      <c r="K534" s="398"/>
      <c r="L534" s="398"/>
      <c r="M534" s="343"/>
      <c r="N534" s="343"/>
      <c r="O534" s="343"/>
      <c r="P534" s="343"/>
      <c r="Q534" s="343"/>
      <c r="R534" s="343"/>
      <c r="S534" s="343"/>
      <c r="T534" s="343"/>
      <c r="U534" s="343"/>
      <c r="V534" s="343"/>
      <c r="W534" s="343"/>
    </row>
    <row r="535" spans="1:23" x14ac:dyDescent="0.2">
      <c r="A535" s="393"/>
      <c r="B535" s="394"/>
      <c r="C535" s="394"/>
      <c r="D535" s="394"/>
      <c r="E535" s="394"/>
      <c r="F535" s="394"/>
      <c r="G535" s="394"/>
      <c r="H535" s="394"/>
      <c r="I535" s="394"/>
      <c r="J535" s="451"/>
      <c r="K535" s="398"/>
      <c r="L535" s="398"/>
      <c r="M535" s="343"/>
      <c r="N535" s="343"/>
      <c r="O535" s="343"/>
      <c r="P535" s="343"/>
      <c r="Q535" s="343"/>
      <c r="R535" s="343"/>
      <c r="S535" s="343"/>
      <c r="T535" s="343"/>
      <c r="U535" s="343"/>
      <c r="V535" s="343"/>
      <c r="W535" s="343"/>
    </row>
    <row r="536" spans="1:23" x14ac:dyDescent="0.2">
      <c r="A536" s="397"/>
      <c r="B536" s="394"/>
      <c r="C536" s="394"/>
      <c r="D536" s="394"/>
      <c r="E536" s="394"/>
      <c r="F536" s="394"/>
      <c r="G536" s="394"/>
      <c r="H536" s="394"/>
      <c r="I536" s="394"/>
      <c r="J536" s="451"/>
      <c r="K536" s="398"/>
      <c r="L536" s="398"/>
      <c r="M536" s="343"/>
      <c r="N536" s="343"/>
      <c r="O536" s="343"/>
      <c r="P536" s="343"/>
      <c r="Q536" s="343"/>
      <c r="R536" s="343"/>
      <c r="S536" s="343"/>
      <c r="T536" s="343"/>
      <c r="U536" s="343"/>
      <c r="V536" s="343"/>
      <c r="W536" s="343"/>
    </row>
    <row r="537" spans="1:23" x14ac:dyDescent="0.2">
      <c r="A537" s="397"/>
      <c r="B537" s="394"/>
      <c r="C537" s="394"/>
      <c r="D537" s="394"/>
      <c r="E537" s="350"/>
      <c r="F537" s="394"/>
      <c r="G537" s="394"/>
      <c r="H537" s="394"/>
      <c r="I537" s="394"/>
      <c r="J537" s="451"/>
      <c r="K537" s="398"/>
      <c r="L537" s="398"/>
      <c r="M537" s="343"/>
      <c r="N537" s="343"/>
      <c r="O537" s="343"/>
      <c r="P537" s="343"/>
      <c r="Q537" s="343"/>
      <c r="R537" s="343"/>
      <c r="S537" s="343"/>
      <c r="T537" s="343"/>
      <c r="U537" s="343"/>
      <c r="V537" s="343"/>
      <c r="W537" s="343"/>
    </row>
    <row r="538" spans="1:23" x14ac:dyDescent="0.2">
      <c r="A538" s="397"/>
      <c r="B538" s="394"/>
      <c r="C538" s="394"/>
      <c r="D538" s="394"/>
      <c r="E538" s="398"/>
      <c r="F538" s="394"/>
      <c r="G538" s="394"/>
      <c r="H538" s="394"/>
      <c r="I538" s="394"/>
      <c r="J538" s="451"/>
      <c r="K538" s="398"/>
      <c r="L538" s="398"/>
      <c r="M538" s="343"/>
      <c r="N538" s="343"/>
      <c r="O538" s="343"/>
      <c r="P538" s="343"/>
      <c r="Q538" s="343"/>
      <c r="R538" s="343"/>
      <c r="S538" s="343"/>
      <c r="T538" s="343"/>
      <c r="U538" s="343"/>
      <c r="V538" s="343"/>
      <c r="W538" s="343"/>
    </row>
    <row r="539" spans="1:23" x14ac:dyDescent="0.2">
      <c r="A539" s="397"/>
      <c r="B539" s="394"/>
      <c r="C539" s="394"/>
      <c r="D539" s="394"/>
      <c r="E539" s="398"/>
      <c r="F539" s="394"/>
      <c r="G539" s="394"/>
      <c r="H539" s="394"/>
      <c r="I539" s="394"/>
      <c r="J539" s="451"/>
      <c r="K539" s="398"/>
      <c r="L539" s="398"/>
      <c r="M539" s="343"/>
      <c r="N539" s="343"/>
      <c r="O539" s="343"/>
      <c r="P539" s="343"/>
      <c r="Q539" s="343"/>
      <c r="R539" s="343"/>
      <c r="S539" s="343"/>
      <c r="T539" s="343"/>
      <c r="U539" s="343"/>
      <c r="V539" s="343"/>
      <c r="W539" s="343"/>
    </row>
    <row r="540" spans="1:23" x14ac:dyDescent="0.2">
      <c r="A540" s="397"/>
      <c r="B540" s="264"/>
      <c r="C540" s="394"/>
      <c r="D540" s="394"/>
      <c r="E540" s="398"/>
      <c r="F540" s="394"/>
      <c r="G540" s="394"/>
      <c r="H540" s="394"/>
      <c r="I540" s="394"/>
      <c r="J540" s="451"/>
      <c r="K540" s="398"/>
      <c r="L540" s="398"/>
      <c r="M540" s="343"/>
      <c r="N540" s="343"/>
      <c r="O540" s="343"/>
      <c r="P540" s="343"/>
      <c r="Q540" s="343"/>
      <c r="R540" s="343"/>
      <c r="S540" s="343"/>
      <c r="T540" s="343"/>
      <c r="U540" s="343"/>
      <c r="V540" s="343"/>
      <c r="W540" s="343"/>
    </row>
    <row r="541" spans="1:23" x14ac:dyDescent="0.2">
      <c r="A541" s="397"/>
      <c r="B541" s="264"/>
      <c r="C541" s="394"/>
      <c r="D541" s="394"/>
      <c r="E541" s="398"/>
      <c r="F541" s="394"/>
      <c r="G541" s="394"/>
      <c r="H541" s="394"/>
      <c r="I541" s="394"/>
      <c r="J541" s="451"/>
      <c r="K541" s="398"/>
      <c r="L541" s="398"/>
      <c r="M541" s="343"/>
      <c r="N541" s="343"/>
      <c r="O541" s="343"/>
      <c r="P541" s="343"/>
      <c r="Q541" s="343"/>
      <c r="R541" s="343"/>
      <c r="S541" s="343"/>
      <c r="T541" s="343"/>
      <c r="U541" s="343"/>
      <c r="V541" s="343"/>
      <c r="W541" s="343"/>
    </row>
    <row r="542" spans="1:23" x14ac:dyDescent="0.2">
      <c r="A542" s="397"/>
      <c r="B542" s="264"/>
      <c r="C542" s="394"/>
      <c r="D542" s="394"/>
      <c r="E542" s="398"/>
      <c r="F542" s="394"/>
      <c r="G542" s="394"/>
      <c r="H542" s="394"/>
      <c r="I542" s="394"/>
      <c r="J542" s="451"/>
      <c r="K542" s="398"/>
      <c r="L542" s="398"/>
      <c r="M542" s="343"/>
      <c r="N542" s="343"/>
      <c r="O542" s="343"/>
      <c r="P542" s="343"/>
      <c r="Q542" s="343"/>
      <c r="R542" s="343"/>
      <c r="S542" s="343"/>
      <c r="T542" s="343"/>
      <c r="U542" s="343"/>
      <c r="V542" s="343"/>
      <c r="W542" s="343"/>
    </row>
    <row r="543" spans="1:23" x14ac:dyDescent="0.2">
      <c r="A543" s="397"/>
      <c r="B543" s="394"/>
      <c r="C543" s="394"/>
      <c r="D543" s="394"/>
      <c r="E543" s="398"/>
      <c r="F543" s="394"/>
      <c r="G543" s="394"/>
      <c r="H543" s="394"/>
      <c r="I543" s="394"/>
      <c r="J543" s="451"/>
      <c r="K543" s="398"/>
      <c r="L543" s="398"/>
      <c r="M543" s="343"/>
      <c r="N543" s="343"/>
      <c r="O543" s="343"/>
      <c r="P543" s="343"/>
      <c r="Q543" s="343"/>
      <c r="R543" s="343"/>
      <c r="S543" s="343"/>
      <c r="T543" s="343"/>
      <c r="U543" s="343"/>
      <c r="V543" s="343"/>
      <c r="W543" s="343"/>
    </row>
    <row r="544" spans="1:23" x14ac:dyDescent="0.2">
      <c r="A544" s="397"/>
      <c r="B544" s="394"/>
      <c r="C544" s="394"/>
      <c r="D544" s="394"/>
      <c r="E544" s="398"/>
      <c r="F544" s="394"/>
      <c r="G544" s="394"/>
      <c r="H544" s="394"/>
      <c r="I544" s="394"/>
      <c r="J544" s="451"/>
      <c r="K544" s="398"/>
      <c r="L544" s="398"/>
      <c r="M544" s="343"/>
      <c r="N544" s="343"/>
      <c r="O544" s="343"/>
      <c r="P544" s="343"/>
      <c r="Q544" s="343"/>
      <c r="R544" s="343"/>
      <c r="S544" s="343"/>
      <c r="T544" s="343"/>
      <c r="U544" s="343"/>
      <c r="V544" s="343"/>
      <c r="W544" s="343"/>
    </row>
    <row r="545" spans="1:23" x14ac:dyDescent="0.2">
      <c r="A545" s="397"/>
      <c r="B545" s="394"/>
      <c r="C545" s="394"/>
      <c r="D545" s="394"/>
      <c r="E545" s="398"/>
      <c r="F545" s="394"/>
      <c r="G545" s="394"/>
      <c r="H545" s="394"/>
      <c r="I545" s="394"/>
      <c r="J545" s="451"/>
      <c r="K545" s="398"/>
      <c r="L545" s="398"/>
      <c r="M545" s="343"/>
      <c r="N545" s="343"/>
      <c r="O545" s="343"/>
      <c r="P545" s="343"/>
      <c r="Q545" s="343"/>
      <c r="R545" s="343"/>
      <c r="S545" s="343"/>
      <c r="T545" s="343"/>
      <c r="U545" s="343"/>
      <c r="V545" s="343"/>
      <c r="W545" s="343"/>
    </row>
    <row r="546" spans="1:23" x14ac:dyDescent="0.2">
      <c r="A546" s="397"/>
      <c r="B546" s="394"/>
      <c r="C546" s="394"/>
      <c r="D546" s="394"/>
      <c r="E546" s="398"/>
      <c r="F546" s="394"/>
      <c r="G546" s="394"/>
      <c r="H546" s="394"/>
      <c r="I546" s="394"/>
      <c r="J546" s="451"/>
      <c r="K546" s="398"/>
      <c r="L546" s="398"/>
      <c r="M546" s="343"/>
      <c r="N546" s="343"/>
      <c r="O546" s="343"/>
      <c r="P546" s="343"/>
      <c r="Q546" s="343"/>
      <c r="R546" s="343"/>
      <c r="S546" s="343"/>
      <c r="T546" s="343"/>
      <c r="U546" s="343"/>
      <c r="V546" s="343"/>
      <c r="W546" s="343"/>
    </row>
    <row r="547" spans="1:23" x14ac:dyDescent="0.2">
      <c r="A547" s="397"/>
      <c r="B547" s="394"/>
      <c r="C547" s="394"/>
      <c r="D547" s="394"/>
      <c r="E547" s="398"/>
      <c r="F547" s="452"/>
      <c r="G547" s="453"/>
      <c r="H547" s="453"/>
      <c r="I547" s="453"/>
      <c r="J547" s="451"/>
      <c r="K547" s="398"/>
      <c r="L547" s="398"/>
      <c r="M547" s="343"/>
      <c r="N547" s="343"/>
      <c r="O547" s="343"/>
      <c r="P547" s="343"/>
      <c r="Q547" s="343"/>
      <c r="R547" s="343"/>
      <c r="S547" s="343"/>
      <c r="T547" s="343"/>
      <c r="U547" s="343"/>
      <c r="V547" s="343"/>
      <c r="W547" s="343"/>
    </row>
    <row r="548" spans="1:23" x14ac:dyDescent="0.2">
      <c r="A548" s="397"/>
      <c r="B548" s="394"/>
      <c r="C548" s="394"/>
      <c r="D548" s="394"/>
      <c r="E548" s="398"/>
      <c r="F548" s="452"/>
      <c r="G548" s="453"/>
      <c r="H548" s="453"/>
      <c r="I548" s="453"/>
      <c r="J548" s="451"/>
      <c r="K548" s="398"/>
      <c r="L548" s="398"/>
      <c r="M548" s="343"/>
      <c r="N548" s="343"/>
      <c r="O548" s="343"/>
      <c r="P548" s="343"/>
      <c r="Q548" s="343"/>
      <c r="R548" s="343"/>
      <c r="S548" s="343"/>
      <c r="T548" s="343"/>
      <c r="U548" s="343"/>
      <c r="V548" s="343"/>
      <c r="W548" s="343"/>
    </row>
    <row r="549" spans="1:23" x14ac:dyDescent="0.2">
      <c r="A549" s="397"/>
      <c r="B549" s="394"/>
      <c r="C549" s="394"/>
      <c r="D549" s="394"/>
      <c r="E549" s="398"/>
      <c r="F549" s="398"/>
      <c r="G549" s="453"/>
      <c r="H549" s="453"/>
      <c r="I549" s="453"/>
      <c r="J549" s="453"/>
      <c r="K549" s="398"/>
      <c r="L549" s="398"/>
      <c r="M549" s="343"/>
      <c r="N549" s="343"/>
      <c r="O549" s="343"/>
      <c r="P549" s="343"/>
      <c r="Q549" s="343"/>
      <c r="R549" s="343"/>
      <c r="S549" s="343"/>
      <c r="T549" s="343"/>
      <c r="U549" s="343"/>
      <c r="V549" s="343"/>
      <c r="W549" s="343"/>
    </row>
    <row r="550" spans="1:23" x14ac:dyDescent="0.2">
      <c r="A550" s="397"/>
      <c r="B550" s="394"/>
      <c r="C550" s="394"/>
      <c r="D550" s="394"/>
      <c r="E550" s="398"/>
      <c r="F550" s="394"/>
      <c r="G550" s="453"/>
      <c r="H550" s="453"/>
      <c r="I550" s="453"/>
      <c r="J550" s="453"/>
      <c r="K550" s="398"/>
      <c r="L550" s="398"/>
      <c r="M550" s="343"/>
      <c r="N550" s="343"/>
      <c r="O550" s="343"/>
      <c r="P550" s="343"/>
      <c r="Q550" s="343"/>
      <c r="R550" s="343"/>
      <c r="S550" s="343"/>
      <c r="T550" s="343"/>
      <c r="U550" s="343"/>
      <c r="V550" s="343"/>
      <c r="W550" s="343"/>
    </row>
    <row r="551" spans="1:23" x14ac:dyDescent="0.2">
      <c r="A551" s="397"/>
      <c r="B551" s="394"/>
      <c r="C551" s="394"/>
      <c r="D551" s="394"/>
      <c r="E551" s="398"/>
      <c r="F551" s="453"/>
      <c r="G551" s="453"/>
      <c r="H551" s="453"/>
      <c r="I551" s="453"/>
      <c r="J551" s="453"/>
      <c r="K551" s="398"/>
      <c r="L551" s="398"/>
      <c r="M551" s="343"/>
      <c r="N551" s="343"/>
      <c r="O551" s="343"/>
      <c r="P551" s="343"/>
      <c r="Q551" s="343"/>
      <c r="R551" s="343"/>
      <c r="S551" s="343"/>
      <c r="T551" s="343"/>
      <c r="U551" s="343"/>
      <c r="V551" s="343"/>
      <c r="W551" s="343"/>
    </row>
    <row r="552" spans="1:23" x14ac:dyDescent="0.2">
      <c r="A552" s="397"/>
      <c r="B552" s="394"/>
      <c r="C552" s="394"/>
      <c r="D552" s="394"/>
      <c r="E552" s="398"/>
      <c r="F552" s="453"/>
      <c r="G552" s="453"/>
      <c r="H552" s="453"/>
      <c r="I552" s="453"/>
      <c r="J552" s="453"/>
      <c r="K552" s="398"/>
      <c r="L552" s="398"/>
      <c r="M552" s="343"/>
      <c r="N552" s="343"/>
      <c r="O552" s="343"/>
      <c r="P552" s="343"/>
      <c r="Q552" s="343"/>
      <c r="R552" s="343"/>
      <c r="S552" s="343"/>
      <c r="T552" s="343"/>
      <c r="U552" s="343"/>
      <c r="V552" s="343"/>
      <c r="W552" s="343"/>
    </row>
    <row r="553" spans="1:23" x14ac:dyDescent="0.2">
      <c r="A553" s="397"/>
      <c r="B553" s="394"/>
      <c r="C553" s="394"/>
      <c r="D553" s="394"/>
      <c r="E553" s="398"/>
      <c r="F553" s="453"/>
      <c r="G553" s="453"/>
      <c r="H553" s="453"/>
      <c r="I553" s="453"/>
      <c r="J553" s="453"/>
      <c r="K553" s="398"/>
      <c r="L553" s="398"/>
      <c r="M553" s="343"/>
      <c r="N553" s="343"/>
      <c r="O553" s="343"/>
      <c r="P553" s="343"/>
      <c r="Q553" s="343"/>
      <c r="R553" s="343"/>
      <c r="S553" s="343"/>
      <c r="T553" s="343"/>
      <c r="U553" s="343"/>
      <c r="V553" s="343"/>
      <c r="W553" s="343"/>
    </row>
    <row r="554" spans="1:23" x14ac:dyDescent="0.2">
      <c r="A554" s="397"/>
      <c r="B554" s="394"/>
      <c r="C554" s="394"/>
      <c r="D554" s="394"/>
      <c r="E554" s="398"/>
      <c r="F554" s="453"/>
      <c r="G554" s="453"/>
      <c r="H554" s="453"/>
      <c r="I554" s="453"/>
      <c r="J554" s="453"/>
      <c r="K554" s="398"/>
      <c r="L554" s="398"/>
      <c r="M554" s="343"/>
      <c r="N554" s="343"/>
      <c r="O554" s="343"/>
      <c r="P554" s="343"/>
      <c r="Q554" s="343"/>
      <c r="R554" s="343"/>
      <c r="S554" s="343"/>
      <c r="T554" s="343"/>
      <c r="U554" s="343"/>
      <c r="V554" s="343"/>
      <c r="W554" s="343"/>
    </row>
    <row r="555" spans="1:23" x14ac:dyDescent="0.2">
      <c r="A555" s="397"/>
      <c r="B555" s="394"/>
      <c r="C555" s="394"/>
      <c r="D555" s="394"/>
      <c r="E555" s="398"/>
      <c r="F555" s="453"/>
      <c r="G555" s="453"/>
      <c r="H555" s="453"/>
      <c r="I555" s="453"/>
      <c r="J555" s="453"/>
      <c r="K555" s="398"/>
      <c r="L555" s="398"/>
      <c r="M555" s="343"/>
      <c r="N555" s="343"/>
      <c r="O555" s="343"/>
      <c r="P555" s="343"/>
      <c r="Q555" s="343"/>
      <c r="R555" s="343"/>
      <c r="S555" s="343"/>
      <c r="T555" s="343"/>
      <c r="U555" s="343"/>
      <c r="V555" s="343"/>
      <c r="W555" s="343"/>
    </row>
    <row r="556" spans="1:23" x14ac:dyDescent="0.2">
      <c r="A556" s="397"/>
      <c r="B556" s="394"/>
      <c r="C556" s="394"/>
      <c r="D556" s="394"/>
      <c r="E556" s="398"/>
      <c r="F556" s="453"/>
      <c r="G556" s="453"/>
      <c r="H556" s="453"/>
      <c r="I556" s="453"/>
      <c r="J556" s="453"/>
      <c r="K556" s="398"/>
      <c r="L556" s="398"/>
      <c r="M556" s="343"/>
      <c r="N556" s="343"/>
      <c r="O556" s="343"/>
      <c r="P556" s="343"/>
      <c r="Q556" s="343"/>
      <c r="R556" s="343"/>
      <c r="S556" s="343"/>
      <c r="T556" s="343"/>
      <c r="U556" s="343"/>
      <c r="V556" s="343"/>
      <c r="W556" s="343"/>
    </row>
    <row r="557" spans="1:23" x14ac:dyDescent="0.2">
      <c r="A557" s="397"/>
      <c r="B557" s="394"/>
      <c r="C557" s="394"/>
      <c r="D557" s="394"/>
      <c r="E557" s="398"/>
      <c r="F557" s="453"/>
      <c r="G557" s="453"/>
      <c r="H557" s="453"/>
      <c r="I557" s="453"/>
      <c r="J557" s="453"/>
      <c r="K557" s="398"/>
      <c r="L557" s="398"/>
      <c r="M557" s="343"/>
      <c r="N557" s="343"/>
      <c r="O557" s="343"/>
      <c r="P557" s="343"/>
      <c r="Q557" s="343"/>
      <c r="R557" s="343"/>
      <c r="S557" s="343"/>
      <c r="T557" s="343"/>
      <c r="U557" s="343"/>
      <c r="V557" s="343"/>
      <c r="W557" s="343"/>
    </row>
    <row r="558" spans="1:23" x14ac:dyDescent="0.2">
      <c r="A558" s="394"/>
      <c r="B558" s="394"/>
      <c r="C558" s="394"/>
      <c r="D558" s="394"/>
      <c r="E558" s="398"/>
      <c r="F558" s="398"/>
      <c r="G558" s="398"/>
      <c r="H558" s="398"/>
      <c r="I558" s="398"/>
      <c r="J558" s="398"/>
      <c r="K558" s="398"/>
      <c r="L558" s="398"/>
      <c r="M558" s="343"/>
      <c r="N558" s="343"/>
      <c r="O558" s="343"/>
      <c r="P558" s="343"/>
      <c r="Q558" s="343"/>
      <c r="R558" s="343"/>
      <c r="S558" s="343"/>
      <c r="T558" s="343"/>
      <c r="U558" s="343"/>
      <c r="V558" s="343"/>
      <c r="W558" s="343"/>
    </row>
    <row r="559" spans="1:23" x14ac:dyDescent="0.2">
      <c r="A559" s="397"/>
      <c r="B559" s="394"/>
      <c r="C559" s="394"/>
      <c r="D559" s="399"/>
      <c r="E559" s="398"/>
      <c r="F559" s="398"/>
      <c r="G559" s="398"/>
      <c r="H559" s="398"/>
      <c r="I559" s="398"/>
      <c r="J559" s="398"/>
      <c r="K559" s="398"/>
      <c r="L559" s="398"/>
      <c r="M559" s="343"/>
      <c r="N559" s="343"/>
      <c r="O559" s="343"/>
      <c r="P559" s="343"/>
      <c r="Q559" s="343"/>
      <c r="R559" s="343"/>
      <c r="S559" s="343"/>
      <c r="T559" s="343"/>
      <c r="U559" s="343"/>
      <c r="V559" s="343"/>
      <c r="W559" s="343"/>
    </row>
    <row r="560" spans="1:23" x14ac:dyDescent="0.2">
      <c r="A560" s="397"/>
      <c r="B560" s="394"/>
      <c r="C560" s="394"/>
      <c r="D560" s="399"/>
      <c r="E560" s="398"/>
    </row>
    <row r="561" spans="1:5" x14ac:dyDescent="0.2">
      <c r="A561" s="393"/>
      <c r="B561" s="394"/>
      <c r="C561" s="394"/>
      <c r="D561" s="399"/>
      <c r="E561" s="398"/>
    </row>
    <row r="562" spans="1:5" x14ac:dyDescent="0.2">
      <c r="A562" s="393"/>
      <c r="B562" s="394"/>
      <c r="C562" s="394"/>
      <c r="D562" s="399"/>
      <c r="E562" s="398"/>
    </row>
    <row r="563" spans="1:5" x14ac:dyDescent="0.2">
      <c r="A563" s="393"/>
      <c r="B563" s="394"/>
      <c r="C563" s="394"/>
      <c r="D563" s="399"/>
      <c r="E563" s="398"/>
    </row>
    <row r="564" spans="1:5" x14ac:dyDescent="0.2">
      <c r="A564" s="393"/>
      <c r="B564" s="394"/>
      <c r="C564" s="394"/>
      <c r="D564" s="399"/>
      <c r="E564" s="398"/>
    </row>
    <row r="565" spans="1:5" x14ac:dyDescent="0.2">
      <c r="A565" s="393"/>
      <c r="B565" s="394"/>
      <c r="C565" s="394"/>
      <c r="D565" s="399"/>
      <c r="E565" s="398"/>
    </row>
    <row r="566" spans="1:5" x14ac:dyDescent="0.2">
      <c r="A566" s="393"/>
      <c r="B566" s="394"/>
      <c r="C566" s="394"/>
      <c r="D566" s="399"/>
      <c r="E566" s="398"/>
    </row>
    <row r="567" spans="1:5" x14ac:dyDescent="0.2">
      <c r="A567" s="393"/>
      <c r="B567" s="394"/>
      <c r="C567" s="394"/>
      <c r="D567" s="399"/>
      <c r="E567" s="398"/>
    </row>
    <row r="568" spans="1:5" x14ac:dyDescent="0.2">
      <c r="A568" s="393"/>
      <c r="B568" s="394"/>
      <c r="C568" s="394"/>
      <c r="D568" s="399"/>
      <c r="E568" s="398"/>
    </row>
    <row r="569" spans="1:5" x14ac:dyDescent="0.2">
      <c r="A569" s="393"/>
      <c r="B569" s="394"/>
      <c r="C569" s="394"/>
      <c r="D569" s="399"/>
      <c r="E569" s="398"/>
    </row>
  </sheetData>
  <pageMargins left="0.25" right="0.25" top="0.75" bottom="0.75" header="0.3" footer="0.3"/>
  <pageSetup paperSize="140" scale="81" fitToHeight="0" orientation="landscape" r:id="rId1"/>
  <headerFooter>
    <oddFooter>&amp;CPage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N656"/>
  <sheetViews>
    <sheetView showGridLines="0" view="pageBreakPreview" zoomScale="90" zoomScaleNormal="90" zoomScaleSheetLayoutView="90" workbookViewId="0">
      <pane ySplit="6" topLeftCell="A7" activePane="bottomLeft" state="frozen"/>
      <selection pane="bottomLeft" activeCell="A7" sqref="A7"/>
    </sheetView>
  </sheetViews>
  <sheetFormatPr defaultColWidth="9.6640625" defaultRowHeight="15.75" x14ac:dyDescent="0.2"/>
  <cols>
    <col min="1" max="1" width="5.6640625" style="320" customWidth="1"/>
    <col min="2" max="2" width="9.88671875" style="326" customWidth="1"/>
    <col min="3" max="3" width="12.33203125" style="326" customWidth="1"/>
    <col min="4" max="4" width="6.88671875" style="326" customWidth="1"/>
    <col min="5" max="5" width="46.21875" style="792" bestFit="1" customWidth="1"/>
    <col min="6" max="6" width="8.44140625" style="793" customWidth="1"/>
    <col min="7" max="7" width="8.109375" style="323" customWidth="1"/>
    <col min="8" max="8" width="7.88671875" style="323" customWidth="1"/>
    <col min="9" max="9" width="7.109375" style="326" customWidth="1"/>
    <col min="10" max="10" width="9.33203125" style="626" customWidth="1"/>
    <col min="11" max="11" width="11.44140625" style="325" customWidth="1"/>
    <col min="12" max="12" width="11.6640625" style="394" customWidth="1"/>
    <col min="13" max="13" width="10.33203125" style="264" bestFit="1" customWidth="1"/>
    <col min="14" max="14" width="10.77734375" style="264" bestFit="1" customWidth="1"/>
    <col min="15" max="16384" width="9.6640625" style="264"/>
  </cols>
  <sheetData>
    <row r="1" spans="1:14" s="699" customFormat="1" ht="16.5" thickBot="1" x14ac:dyDescent="0.25">
      <c r="A1" s="692" t="s">
        <v>7</v>
      </c>
      <c r="B1" s="693"/>
      <c r="C1" s="694"/>
      <c r="D1" s="694"/>
      <c r="E1" s="695"/>
      <c r="F1" s="696"/>
      <c r="G1" s="696"/>
      <c r="H1" s="696"/>
      <c r="I1" s="696"/>
      <c r="J1" s="697"/>
      <c r="K1" s="696"/>
      <c r="L1" s="698"/>
      <c r="M1" s="264"/>
      <c r="N1" s="264"/>
    </row>
    <row r="2" spans="1:14" x14ac:dyDescent="0.2">
      <c r="A2" s="700" t="s">
        <v>8</v>
      </c>
      <c r="B2" s="402"/>
      <c r="C2" s="701"/>
      <c r="D2" s="807"/>
      <c r="E2" s="186"/>
      <c r="F2" s="702"/>
      <c r="G2" s="186"/>
      <c r="H2" s="186"/>
      <c r="I2" s="186"/>
      <c r="J2" s="595"/>
      <c r="K2" s="185"/>
      <c r="L2" s="703"/>
      <c r="M2" s="394"/>
    </row>
    <row r="3" spans="1:14" x14ac:dyDescent="0.2">
      <c r="A3" s="704" t="s">
        <v>9</v>
      </c>
      <c r="B3" s="402"/>
      <c r="C3" s="808">
        <v>44969</v>
      </c>
      <c r="D3" s="808"/>
      <c r="E3" s="528"/>
      <c r="F3" s="513"/>
      <c r="G3" s="528"/>
      <c r="H3" s="528"/>
      <c r="I3" s="595"/>
      <c r="J3" s="595"/>
      <c r="K3" s="185"/>
      <c r="L3" s="703"/>
      <c r="M3" s="394"/>
    </row>
    <row r="4" spans="1:14" x14ac:dyDescent="0.2">
      <c r="A4" s="704" t="s">
        <v>10</v>
      </c>
      <c r="B4" s="402"/>
      <c r="C4" s="808">
        <v>44662</v>
      </c>
      <c r="D4" s="808"/>
      <c r="E4" s="528"/>
      <c r="F4" s="809"/>
      <c r="G4" s="809"/>
      <c r="H4" s="809"/>
      <c r="I4" s="809"/>
      <c r="J4" s="185"/>
      <c r="K4" s="707"/>
      <c r="L4" s="708"/>
      <c r="M4" s="394"/>
    </row>
    <row r="5" spans="1:14" ht="16.5" thickBot="1" x14ac:dyDescent="0.25">
      <c r="A5" s="709" t="s">
        <v>1340</v>
      </c>
      <c r="B5" s="402"/>
      <c r="C5" s="810">
        <f>$K$648</f>
        <v>0</v>
      </c>
      <c r="D5" s="102"/>
      <c r="E5" s="710"/>
      <c r="F5" s="513"/>
      <c r="G5" s="513"/>
      <c r="H5" s="809"/>
      <c r="I5" s="809"/>
      <c r="J5" s="185"/>
      <c r="K5" s="707"/>
      <c r="L5" s="708"/>
      <c r="M5" s="711"/>
      <c r="N5" s="712"/>
    </row>
    <row r="6" spans="1:14" s="280" customFormat="1" ht="37.5" customHeight="1" thickBot="1" x14ac:dyDescent="0.25">
      <c r="A6" s="675" t="s">
        <v>11</v>
      </c>
      <c r="B6" s="713" t="s">
        <v>16</v>
      </c>
      <c r="C6" s="713" t="s">
        <v>17</v>
      </c>
      <c r="D6" s="713" t="s">
        <v>19</v>
      </c>
      <c r="E6" s="713" t="s">
        <v>1</v>
      </c>
      <c r="F6" s="713" t="s">
        <v>263</v>
      </c>
      <c r="G6" s="713" t="s">
        <v>4</v>
      </c>
      <c r="H6" s="713" t="s">
        <v>5</v>
      </c>
      <c r="I6" s="713" t="s">
        <v>0</v>
      </c>
      <c r="J6" s="713" t="s">
        <v>2</v>
      </c>
      <c r="K6" s="677" t="s">
        <v>6</v>
      </c>
      <c r="L6" s="679" t="s">
        <v>12</v>
      </c>
      <c r="N6" s="705"/>
    </row>
    <row r="7" spans="1:14" s="377" customFormat="1" ht="16.5" thickBot="1" x14ac:dyDescent="0.25">
      <c r="A7" s="714"/>
      <c r="B7" s="715"/>
      <c r="C7" s="114"/>
      <c r="D7" s="115" t="s">
        <v>1341</v>
      </c>
      <c r="E7" s="116" t="s">
        <v>1342</v>
      </c>
      <c r="F7" s="117"/>
      <c r="G7" s="118"/>
      <c r="H7" s="118"/>
      <c r="I7" s="118"/>
      <c r="J7" s="716"/>
      <c r="K7" s="118"/>
      <c r="L7" s="717"/>
    </row>
    <row r="8" spans="1:14" ht="16.5" thickBot="1" x14ac:dyDescent="0.25">
      <c r="A8" s="714" t="str">
        <f>IF(F8&lt;&gt;"",1+MAX($A3:A$6),"")</f>
        <v/>
      </c>
      <c r="B8" s="141"/>
      <c r="C8" s="123"/>
      <c r="D8" s="370"/>
      <c r="E8" s="544" t="s">
        <v>1343</v>
      </c>
      <c r="F8" s="545"/>
      <c r="G8" s="718"/>
      <c r="H8" s="719"/>
      <c r="I8" s="720"/>
      <c r="J8" s="721"/>
      <c r="K8" s="811"/>
      <c r="L8" s="722"/>
    </row>
    <row r="9" spans="1:14" x14ac:dyDescent="0.2">
      <c r="A9" s="714" t="str">
        <f>IF(F9&lt;&gt;"",1+MAX($A$1:A8),"")</f>
        <v/>
      </c>
      <c r="B9" s="141"/>
      <c r="C9" s="723"/>
      <c r="D9" s="368"/>
      <c r="E9" s="812" t="s">
        <v>1344</v>
      </c>
      <c r="F9" s="724"/>
      <c r="G9" s="436"/>
      <c r="H9" s="140"/>
      <c r="I9" s="141"/>
      <c r="J9" s="261"/>
      <c r="K9" s="428"/>
      <c r="L9" s="725"/>
    </row>
    <row r="10" spans="1:14" ht="31.5" x14ac:dyDescent="0.2">
      <c r="A10" s="714">
        <f>IF(F10&lt;&gt;"",1+MAX($A$1:A9),"")</f>
        <v>1</v>
      </c>
      <c r="B10" s="726"/>
      <c r="C10" s="726"/>
      <c r="D10" s="370"/>
      <c r="E10" s="727" t="s">
        <v>1345</v>
      </c>
      <c r="F10" s="728">
        <v>37224</v>
      </c>
      <c r="G10" s="127">
        <v>0.1</v>
      </c>
      <c r="H10" s="140">
        <f t="shared" ref="H10:H29" si="0">F10*(1+G10)</f>
        <v>40946.400000000001</v>
      </c>
      <c r="I10" s="141" t="s">
        <v>18</v>
      </c>
      <c r="J10" s="729">
        <v>0</v>
      </c>
      <c r="K10" s="730">
        <f t="shared" ref="K10:K29" si="1">J10*H10</f>
        <v>0</v>
      </c>
      <c r="L10" s="725"/>
    </row>
    <row r="11" spans="1:14" s="394" customFormat="1" x14ac:dyDescent="0.2">
      <c r="A11" s="714" t="str">
        <f>IF(F11&lt;&gt;"",1+MAX($A$1:A10),"")</f>
        <v/>
      </c>
      <c r="B11" s="726"/>
      <c r="C11" s="726"/>
      <c r="D11" s="370"/>
      <c r="E11" s="727"/>
      <c r="F11" s="728"/>
      <c r="G11" s="127"/>
      <c r="H11" s="140"/>
      <c r="I11" s="141"/>
      <c r="J11" s="731"/>
      <c r="K11" s="730"/>
      <c r="L11" s="732"/>
    </row>
    <row r="12" spans="1:14" x14ac:dyDescent="0.2">
      <c r="A12" s="714" t="str">
        <f>IF(F12&lt;&gt;"",1+MAX($A$1:A11),"")</f>
        <v/>
      </c>
      <c r="B12" s="141"/>
      <c r="C12" s="723"/>
      <c r="D12" s="368"/>
      <c r="E12" s="812" t="s">
        <v>1346</v>
      </c>
      <c r="F12" s="724"/>
      <c r="G12" s="436"/>
      <c r="H12" s="140"/>
      <c r="I12" s="141"/>
      <c r="J12" s="261"/>
      <c r="K12" s="428"/>
      <c r="L12" s="725"/>
    </row>
    <row r="13" spans="1:14" x14ac:dyDescent="0.2">
      <c r="A13" s="714">
        <f>IF(F13&lt;&gt;"",1+MAX($A$1:A12),"")</f>
        <v>2</v>
      </c>
      <c r="B13" s="726" t="s">
        <v>1347</v>
      </c>
      <c r="C13" s="726"/>
      <c r="D13" s="370"/>
      <c r="E13" s="733" t="s">
        <v>1348</v>
      </c>
      <c r="F13" s="728">
        <v>281.64</v>
      </c>
      <c r="G13" s="127">
        <v>0.1</v>
      </c>
      <c r="H13" s="140">
        <f t="shared" ref="H13" si="2">F13*(1+G13)</f>
        <v>309.80400000000003</v>
      </c>
      <c r="I13" s="141" t="s">
        <v>1028</v>
      </c>
      <c r="J13" s="729">
        <v>0</v>
      </c>
      <c r="K13" s="730">
        <f t="shared" ref="K13" si="3">J13*H13</f>
        <v>0</v>
      </c>
      <c r="L13" s="725"/>
    </row>
    <row r="14" spans="1:14" s="394" customFormat="1" x14ac:dyDescent="0.2">
      <c r="A14" s="714" t="str">
        <f>IF(F14&lt;&gt;"",1+MAX($A$1:A13),"")</f>
        <v/>
      </c>
      <c r="B14" s="726"/>
      <c r="C14" s="726"/>
      <c r="D14" s="370"/>
      <c r="E14" s="727"/>
      <c r="F14" s="728"/>
      <c r="G14" s="127"/>
      <c r="H14" s="140"/>
      <c r="I14" s="141"/>
      <c r="J14" s="731"/>
      <c r="K14" s="730"/>
      <c r="L14" s="732"/>
    </row>
    <row r="15" spans="1:14" x14ac:dyDescent="0.2">
      <c r="A15" s="714" t="str">
        <f>IF(F15&lt;&gt;"",1+MAX($A$1:A14),"")</f>
        <v/>
      </c>
      <c r="B15" s="141"/>
      <c r="C15" s="723"/>
      <c r="D15" s="368"/>
      <c r="E15" s="812" t="s">
        <v>1349</v>
      </c>
      <c r="F15" s="724"/>
      <c r="G15" s="436"/>
      <c r="H15" s="140"/>
      <c r="I15" s="141"/>
      <c r="J15" s="261"/>
      <c r="K15" s="428"/>
      <c r="L15" s="725"/>
    </row>
    <row r="16" spans="1:14" s="394" customFormat="1" ht="47.25" x14ac:dyDescent="0.2">
      <c r="A16" s="714">
        <f>IF(F16&lt;&gt;"",1+MAX($A$1:A15),"")</f>
        <v>3</v>
      </c>
      <c r="B16" s="141" t="s">
        <v>1350</v>
      </c>
      <c r="C16" s="726" t="s">
        <v>1351</v>
      </c>
      <c r="D16" s="370"/>
      <c r="E16" s="727" t="s">
        <v>1352</v>
      </c>
      <c r="F16" s="728">
        <f>32*90</f>
        <v>2880</v>
      </c>
      <c r="G16" s="127">
        <v>0.1</v>
      </c>
      <c r="H16" s="128">
        <f t="shared" ref="H16:H21" si="4">F16*(1+G16)</f>
        <v>3168.0000000000005</v>
      </c>
      <c r="I16" s="129" t="s">
        <v>1015</v>
      </c>
      <c r="J16" s="729">
        <v>0</v>
      </c>
      <c r="K16" s="734">
        <f t="shared" ref="K16:K21" si="5">J16*H16</f>
        <v>0</v>
      </c>
      <c r="L16" s="722"/>
      <c r="M16" s="735"/>
    </row>
    <row r="17" spans="1:12" s="394" customFormat="1" ht="47.25" x14ac:dyDescent="0.2">
      <c r="A17" s="714">
        <f>IF(F17&lt;&gt;"",1+MAX($A$1:A16),"")</f>
        <v>4</v>
      </c>
      <c r="B17" s="141" t="s">
        <v>1350</v>
      </c>
      <c r="C17" s="726" t="s">
        <v>1351</v>
      </c>
      <c r="D17" s="370"/>
      <c r="E17" s="727" t="s">
        <v>1353</v>
      </c>
      <c r="F17" s="728">
        <f>(32.34*90)*57</f>
        <v>165904.20000000001</v>
      </c>
      <c r="G17" s="127">
        <v>0.1</v>
      </c>
      <c r="H17" s="128">
        <f t="shared" si="4"/>
        <v>182494.62000000002</v>
      </c>
      <c r="I17" s="129" t="s">
        <v>427</v>
      </c>
      <c r="J17" s="729">
        <v>0</v>
      </c>
      <c r="K17" s="734">
        <f t="shared" si="5"/>
        <v>0</v>
      </c>
      <c r="L17" s="722"/>
    </row>
    <row r="18" spans="1:12" s="394" customFormat="1" x14ac:dyDescent="0.2">
      <c r="A18" s="714">
        <f>IF(F18&lt;&gt;"",1+MAX($A$1:A17),"")</f>
        <v>5</v>
      </c>
      <c r="B18" s="141" t="s">
        <v>1350</v>
      </c>
      <c r="C18" s="726" t="s">
        <v>1351</v>
      </c>
      <c r="D18" s="370"/>
      <c r="E18" s="727" t="s">
        <v>1354</v>
      </c>
      <c r="F18" s="728">
        <f>(3.14*1*1*32/27)*90</f>
        <v>334.93333333333334</v>
      </c>
      <c r="G18" s="127">
        <v>0.1</v>
      </c>
      <c r="H18" s="128">
        <f t="shared" si="4"/>
        <v>368.42666666666668</v>
      </c>
      <c r="I18" s="129" t="s">
        <v>1028</v>
      </c>
      <c r="J18" s="729">
        <v>0</v>
      </c>
      <c r="K18" s="734">
        <f t="shared" si="5"/>
        <v>0</v>
      </c>
      <c r="L18" s="722"/>
    </row>
    <row r="19" spans="1:12" s="394" customFormat="1" x14ac:dyDescent="0.2">
      <c r="A19" s="714">
        <f>IF(F19&lt;&gt;"",1+MAX($A$1:A18),"")</f>
        <v>6</v>
      </c>
      <c r="B19" s="141" t="s">
        <v>1350</v>
      </c>
      <c r="C19" s="726" t="s">
        <v>1351</v>
      </c>
      <c r="D19" s="368"/>
      <c r="E19" s="727" t="s">
        <v>1355</v>
      </c>
      <c r="F19" s="728">
        <f>721.31*5</f>
        <v>3606.5499999999997</v>
      </c>
      <c r="G19" s="127">
        <v>0.1</v>
      </c>
      <c r="H19" s="128">
        <f t="shared" si="4"/>
        <v>3967.2049999999999</v>
      </c>
      <c r="I19" s="129" t="s">
        <v>18</v>
      </c>
      <c r="J19" s="729">
        <v>0</v>
      </c>
      <c r="K19" s="736">
        <f t="shared" si="5"/>
        <v>0</v>
      </c>
      <c r="L19" s="722"/>
    </row>
    <row r="20" spans="1:12" s="394" customFormat="1" x14ac:dyDescent="0.2">
      <c r="A20" s="714">
        <f>IF(F20&lt;&gt;"",1+MAX($A$1:A19),"")</f>
        <v>7</v>
      </c>
      <c r="B20" s="141" t="s">
        <v>1350</v>
      </c>
      <c r="C20" s="726" t="s">
        <v>1351</v>
      </c>
      <c r="D20" s="368"/>
      <c r="E20" s="727" t="s">
        <v>1356</v>
      </c>
      <c r="F20" s="728">
        <f>721.31*9</f>
        <v>6491.7899999999991</v>
      </c>
      <c r="G20" s="127">
        <v>0.1</v>
      </c>
      <c r="H20" s="128">
        <f t="shared" si="4"/>
        <v>7140.9689999999991</v>
      </c>
      <c r="I20" s="129" t="s">
        <v>18</v>
      </c>
      <c r="J20" s="729">
        <v>0</v>
      </c>
      <c r="K20" s="736">
        <f t="shared" si="5"/>
        <v>0</v>
      </c>
      <c r="L20" s="722"/>
    </row>
    <row r="21" spans="1:12" x14ac:dyDescent="0.2">
      <c r="A21" s="714">
        <f>IF(F21&lt;&gt;"",1+MAX($A$1:A20),"")</f>
        <v>8</v>
      </c>
      <c r="B21" s="726" t="s">
        <v>1347</v>
      </c>
      <c r="C21" s="726"/>
      <c r="D21" s="370"/>
      <c r="E21" s="733" t="s">
        <v>1357</v>
      </c>
      <c r="F21" s="728">
        <f>90</f>
        <v>90</v>
      </c>
      <c r="G21" s="127">
        <v>0</v>
      </c>
      <c r="H21" s="140">
        <f t="shared" si="4"/>
        <v>90</v>
      </c>
      <c r="I21" s="141" t="s">
        <v>1358</v>
      </c>
      <c r="J21" s="729">
        <v>0</v>
      </c>
      <c r="K21" s="730">
        <f t="shared" si="5"/>
        <v>0</v>
      </c>
      <c r="L21" s="725"/>
    </row>
    <row r="22" spans="1:12" s="394" customFormat="1" x14ac:dyDescent="0.2">
      <c r="A22" s="714" t="str">
        <f>IF(F22&lt;&gt;"",1+MAX($A$1:A21),"")</f>
        <v/>
      </c>
      <c r="B22" s="726"/>
      <c r="C22" s="726"/>
      <c r="D22" s="370"/>
      <c r="E22" s="727"/>
      <c r="F22" s="728"/>
      <c r="G22" s="127"/>
      <c r="H22" s="140"/>
      <c r="I22" s="141"/>
      <c r="J22" s="731"/>
      <c r="K22" s="730"/>
      <c r="L22" s="732"/>
    </row>
    <row r="23" spans="1:12" x14ac:dyDescent="0.2">
      <c r="A23" s="714" t="str">
        <f>IF(F23&lt;&gt;"",1+MAX($A$1:A22),"")</f>
        <v/>
      </c>
      <c r="B23" s="141"/>
      <c r="C23" s="723"/>
      <c r="D23" s="368"/>
      <c r="E23" s="812" t="s">
        <v>1359</v>
      </c>
      <c r="F23" s="724"/>
      <c r="G23" s="436"/>
      <c r="H23" s="140"/>
      <c r="I23" s="141"/>
      <c r="J23" s="261"/>
      <c r="K23" s="428"/>
      <c r="L23" s="725"/>
    </row>
    <row r="24" spans="1:12" x14ac:dyDescent="0.2">
      <c r="A24" s="714">
        <f>IF(F24&lt;&gt;"",1+MAX($A$1:A23),"")</f>
        <v>9</v>
      </c>
      <c r="B24" s="726" t="s">
        <v>1347</v>
      </c>
      <c r="C24" s="726"/>
      <c r="D24" s="370"/>
      <c r="E24" s="733" t="s">
        <v>1360</v>
      </c>
      <c r="F24" s="728">
        <f>11454.46</f>
        <v>11454.46</v>
      </c>
      <c r="G24" s="127">
        <v>0.1</v>
      </c>
      <c r="H24" s="140">
        <f t="shared" ref="H24" si="6">F24*(1+G24)</f>
        <v>12599.906000000001</v>
      </c>
      <c r="I24" s="141" t="s">
        <v>1028</v>
      </c>
      <c r="J24" s="731">
        <f>J$13</f>
        <v>0</v>
      </c>
      <c r="K24" s="730">
        <f t="shared" ref="K24" si="7">J24*H24</f>
        <v>0</v>
      </c>
      <c r="L24" s="725"/>
    </row>
    <row r="25" spans="1:12" x14ac:dyDescent="0.2">
      <c r="A25" s="714">
        <f>IF(F25&lt;&gt;"",1+MAX($A$1:A24),"")</f>
        <v>10</v>
      </c>
      <c r="B25" s="726" t="s">
        <v>1361</v>
      </c>
      <c r="C25" s="726"/>
      <c r="D25" s="370"/>
      <c r="E25" s="733" t="s">
        <v>1362</v>
      </c>
      <c r="F25" s="728">
        <f>520.77</f>
        <v>520.77</v>
      </c>
      <c r="G25" s="127">
        <v>0.1</v>
      </c>
      <c r="H25" s="140">
        <f t="shared" si="0"/>
        <v>572.84699999999998</v>
      </c>
      <c r="I25" s="141" t="s">
        <v>1028</v>
      </c>
      <c r="J25" s="731">
        <f>J$24</f>
        <v>0</v>
      </c>
      <c r="K25" s="730">
        <f t="shared" si="1"/>
        <v>0</v>
      </c>
      <c r="L25" s="725"/>
    </row>
    <row r="26" spans="1:12" x14ac:dyDescent="0.2">
      <c r="A26" s="714">
        <f>IF(F26&lt;&gt;"",1+MAX($A$1:A25),"")</f>
        <v>11</v>
      </c>
      <c r="B26" s="726" t="s">
        <v>1361</v>
      </c>
      <c r="C26" s="726"/>
      <c r="D26" s="370"/>
      <c r="E26" s="733" t="s">
        <v>1363</v>
      </c>
      <c r="F26" s="728">
        <f>9.15</f>
        <v>9.15</v>
      </c>
      <c r="G26" s="127">
        <v>0.1</v>
      </c>
      <c r="H26" s="140">
        <f t="shared" si="0"/>
        <v>10.065000000000001</v>
      </c>
      <c r="I26" s="141" t="s">
        <v>1028</v>
      </c>
      <c r="J26" s="731">
        <f>J$24</f>
        <v>0</v>
      </c>
      <c r="K26" s="730">
        <f t="shared" si="1"/>
        <v>0</v>
      </c>
      <c r="L26" s="725"/>
    </row>
    <row r="27" spans="1:12" s="394" customFormat="1" x14ac:dyDescent="0.2">
      <c r="A27" s="714" t="str">
        <f>IF(F27&lt;&gt;"",1+MAX($A$1:A26),"")</f>
        <v/>
      </c>
      <c r="B27" s="726"/>
      <c r="C27" s="726"/>
      <c r="D27" s="370"/>
      <c r="E27" s="727"/>
      <c r="F27" s="728"/>
      <c r="G27" s="127"/>
      <c r="H27" s="140"/>
      <c r="I27" s="141"/>
      <c r="J27" s="731"/>
      <c r="K27" s="730"/>
      <c r="L27" s="732"/>
    </row>
    <row r="28" spans="1:12" x14ac:dyDescent="0.2">
      <c r="A28" s="714" t="str">
        <f>IF(F28&lt;&gt;"",1+MAX($A$1:A27),"")</f>
        <v/>
      </c>
      <c r="B28" s="141"/>
      <c r="C28" s="723"/>
      <c r="D28" s="368"/>
      <c r="E28" s="812" t="s">
        <v>1364</v>
      </c>
      <c r="F28" s="724"/>
      <c r="G28" s="436"/>
      <c r="H28" s="140"/>
      <c r="I28" s="141"/>
      <c r="J28" s="261"/>
      <c r="K28" s="428"/>
      <c r="L28" s="725"/>
    </row>
    <row r="29" spans="1:12" s="394" customFormat="1" ht="31.5" x14ac:dyDescent="0.2">
      <c r="A29" s="714">
        <f>IF(F29&lt;&gt;"",1+MAX($A$1:A28),"")</f>
        <v>12</v>
      </c>
      <c r="B29" s="726"/>
      <c r="C29" s="726"/>
      <c r="D29" s="370"/>
      <c r="E29" s="727" t="s">
        <v>1365</v>
      </c>
      <c r="F29" s="728">
        <f>(F24+F25-F26+F13)/10</f>
        <v>1224.7719999999999</v>
      </c>
      <c r="G29" s="127">
        <v>0</v>
      </c>
      <c r="H29" s="140">
        <f t="shared" si="0"/>
        <v>1224.7719999999999</v>
      </c>
      <c r="I29" s="141" t="s">
        <v>1366</v>
      </c>
      <c r="J29" s="729">
        <v>0</v>
      </c>
      <c r="K29" s="730">
        <f t="shared" si="1"/>
        <v>0</v>
      </c>
      <c r="L29" s="732"/>
    </row>
    <row r="30" spans="1:12" s="394" customFormat="1" x14ac:dyDescent="0.2">
      <c r="A30" s="714" t="str">
        <f>IF(F30&lt;&gt;"",1+MAX($A$1:A29),"")</f>
        <v/>
      </c>
      <c r="B30" s="726"/>
      <c r="C30" s="726"/>
      <c r="D30" s="370"/>
      <c r="E30" s="737" t="s">
        <v>1367</v>
      </c>
      <c r="F30" s="728"/>
      <c r="G30" s="127"/>
      <c r="H30" s="140"/>
      <c r="I30" s="141"/>
      <c r="J30" s="731"/>
      <c r="K30" s="730"/>
      <c r="L30" s="732"/>
    </row>
    <row r="31" spans="1:12" ht="16.5" thickBot="1" x14ac:dyDescent="0.25">
      <c r="A31" s="714" t="str">
        <f>IF(F31&lt;&gt;"",1+MAX($A$1:A30),"")</f>
        <v/>
      </c>
      <c r="B31" s="141"/>
      <c r="C31" s="723"/>
      <c r="D31" s="368"/>
      <c r="E31" s="813"/>
      <c r="F31" s="724"/>
      <c r="G31" s="436"/>
      <c r="H31" s="140"/>
      <c r="I31" s="141"/>
      <c r="J31" s="261"/>
      <c r="K31" s="428"/>
      <c r="L31" s="725"/>
    </row>
    <row r="32" spans="1:12" ht="16.5" thickBot="1" x14ac:dyDescent="0.25">
      <c r="A32" s="714" t="str">
        <f>IF(F32&lt;&gt;"",1+MAX($A$1:A31),"")</f>
        <v/>
      </c>
      <c r="B32" s="141"/>
      <c r="C32" s="123"/>
      <c r="D32" s="370"/>
      <c r="E32" s="561" t="s">
        <v>1368</v>
      </c>
      <c r="F32" s="537"/>
      <c r="G32" s="718"/>
      <c r="H32" s="719"/>
      <c r="I32" s="720"/>
      <c r="J32" s="721"/>
      <c r="K32" s="811"/>
      <c r="L32" s="725"/>
    </row>
    <row r="33" spans="1:12" x14ac:dyDescent="0.2">
      <c r="A33" s="714" t="str">
        <f>IF(F33&lt;&gt;"",1+MAX($A$1:A32),"")</f>
        <v/>
      </c>
      <c r="B33" s="141"/>
      <c r="C33" s="723"/>
      <c r="D33" s="368"/>
      <c r="E33" s="812" t="s">
        <v>1369</v>
      </c>
      <c r="F33" s="724"/>
      <c r="G33" s="436"/>
      <c r="H33" s="140"/>
      <c r="I33" s="141"/>
      <c r="J33" s="261"/>
      <c r="K33" s="428"/>
      <c r="L33" s="725"/>
    </row>
    <row r="34" spans="1:12" x14ac:dyDescent="0.2">
      <c r="A34" s="714">
        <f>IF(F34&lt;&gt;"",1+MAX($A$1:A33),"")</f>
        <v>13</v>
      </c>
      <c r="B34" s="726" t="s">
        <v>1370</v>
      </c>
      <c r="C34" s="726" t="s">
        <v>1370</v>
      </c>
      <c r="D34" s="370"/>
      <c r="E34" s="733" t="s">
        <v>1371</v>
      </c>
      <c r="F34" s="738">
        <v>576.23</v>
      </c>
      <c r="G34" s="127">
        <v>0.1</v>
      </c>
      <c r="H34" s="140">
        <f t="shared" ref="H34:H44" si="8">F34*(1+G34)</f>
        <v>633.85300000000007</v>
      </c>
      <c r="I34" s="141" t="s">
        <v>15</v>
      </c>
      <c r="J34" s="729">
        <v>0</v>
      </c>
      <c r="K34" s="730">
        <f t="shared" ref="K34:K44" si="9">J34*H34</f>
        <v>0</v>
      </c>
      <c r="L34" s="725"/>
    </row>
    <row r="35" spans="1:12" x14ac:dyDescent="0.2">
      <c r="A35" s="714" t="str">
        <f>IF(F35&lt;&gt;"",1+MAX($A$1:A34),"")</f>
        <v/>
      </c>
      <c r="B35" s="141"/>
      <c r="C35" s="723"/>
      <c r="D35" s="368"/>
      <c r="E35" s="812" t="s">
        <v>1372</v>
      </c>
      <c r="F35" s="724"/>
      <c r="G35" s="436"/>
      <c r="H35" s="140"/>
      <c r="I35" s="141"/>
      <c r="J35" s="261"/>
      <c r="K35" s="428"/>
      <c r="L35" s="725"/>
    </row>
    <row r="36" spans="1:12" x14ac:dyDescent="0.2">
      <c r="A36" s="714">
        <f>IF(F36&lt;&gt;"",1+MAX($A$1:A35),"")</f>
        <v>14</v>
      </c>
      <c r="B36" s="726" t="s">
        <v>1370</v>
      </c>
      <c r="C36" s="726" t="s">
        <v>1370</v>
      </c>
      <c r="D36" s="370"/>
      <c r="E36" s="733" t="s">
        <v>1373</v>
      </c>
      <c r="F36" s="738">
        <v>573.78</v>
      </c>
      <c r="G36" s="127">
        <v>0.1</v>
      </c>
      <c r="H36" s="140">
        <f t="shared" si="8"/>
        <v>631.15800000000002</v>
      </c>
      <c r="I36" s="141" t="s">
        <v>15</v>
      </c>
      <c r="J36" s="729">
        <v>0</v>
      </c>
      <c r="K36" s="730">
        <f t="shared" si="9"/>
        <v>0</v>
      </c>
      <c r="L36" s="725"/>
    </row>
    <row r="37" spans="1:12" x14ac:dyDescent="0.2">
      <c r="A37" s="714" t="str">
        <f>IF(F37&lt;&gt;"",1+MAX($A$1:A36),"")</f>
        <v/>
      </c>
      <c r="B37" s="141"/>
      <c r="C37" s="723"/>
      <c r="D37" s="368"/>
      <c r="E37" s="812" t="s">
        <v>1374</v>
      </c>
      <c r="F37" s="724"/>
      <c r="G37" s="436"/>
      <c r="H37" s="140"/>
      <c r="I37" s="141"/>
      <c r="J37" s="261"/>
      <c r="K37" s="428"/>
      <c r="L37" s="725"/>
    </row>
    <row r="38" spans="1:12" x14ac:dyDescent="0.2">
      <c r="A38" s="714">
        <f>IF(F38&lt;&gt;"",1+MAX($A$1:A37),"")</f>
        <v>15</v>
      </c>
      <c r="B38" s="726" t="s">
        <v>1370</v>
      </c>
      <c r="C38" s="726" t="s">
        <v>1370</v>
      </c>
      <c r="D38" s="370"/>
      <c r="E38" s="733" t="s">
        <v>1375</v>
      </c>
      <c r="F38" s="738">
        <v>1</v>
      </c>
      <c r="G38" s="127">
        <v>0</v>
      </c>
      <c r="H38" s="140">
        <f t="shared" si="8"/>
        <v>1</v>
      </c>
      <c r="I38" s="141" t="s">
        <v>20</v>
      </c>
      <c r="J38" s="729">
        <v>0</v>
      </c>
      <c r="K38" s="730">
        <f t="shared" si="9"/>
        <v>0</v>
      </c>
      <c r="L38" s="725"/>
    </row>
    <row r="39" spans="1:12" x14ac:dyDescent="0.2">
      <c r="A39" s="714" t="str">
        <f>IF(F39&lt;&gt;"",1+MAX($A$1:A38),"")</f>
        <v/>
      </c>
      <c r="B39" s="141"/>
      <c r="C39" s="723"/>
      <c r="D39" s="368"/>
      <c r="E39" s="812" t="s">
        <v>1376</v>
      </c>
      <c r="F39" s="724"/>
      <c r="G39" s="436"/>
      <c r="H39" s="140"/>
      <c r="I39" s="141"/>
      <c r="J39" s="261"/>
      <c r="K39" s="428"/>
      <c r="L39" s="725"/>
    </row>
    <row r="40" spans="1:12" x14ac:dyDescent="0.2">
      <c r="A40" s="714">
        <f>IF(F40&lt;&gt;"",1+MAX($A$1:A39),"")</f>
        <v>16</v>
      </c>
      <c r="B40" s="726" t="s">
        <v>1370</v>
      </c>
      <c r="C40" s="726" t="s">
        <v>1370</v>
      </c>
      <c r="D40" s="370"/>
      <c r="E40" s="733" t="s">
        <v>1377</v>
      </c>
      <c r="F40" s="738">
        <v>1</v>
      </c>
      <c r="G40" s="127">
        <v>0</v>
      </c>
      <c r="H40" s="140">
        <f t="shared" ref="H40:H42" si="10">F40*(1+G40)</f>
        <v>1</v>
      </c>
      <c r="I40" s="141" t="s">
        <v>20</v>
      </c>
      <c r="J40" s="729">
        <v>0</v>
      </c>
      <c r="K40" s="730">
        <f t="shared" ref="K40:K42" si="11">J40*H40</f>
        <v>0</v>
      </c>
      <c r="L40" s="725"/>
    </row>
    <row r="41" spans="1:12" x14ac:dyDescent="0.2">
      <c r="A41" s="714" t="str">
        <f>IF(F41&lt;&gt;"",1+MAX($A$1:A40),"")</f>
        <v/>
      </c>
      <c r="B41" s="141"/>
      <c r="C41" s="723"/>
      <c r="D41" s="368"/>
      <c r="E41" s="812" t="s">
        <v>1378</v>
      </c>
      <c r="F41" s="724"/>
      <c r="G41" s="436"/>
      <c r="H41" s="140"/>
      <c r="I41" s="141"/>
      <c r="J41" s="798"/>
      <c r="K41" s="428"/>
      <c r="L41" s="725"/>
    </row>
    <row r="42" spans="1:12" x14ac:dyDescent="0.2">
      <c r="A42" s="714">
        <f>IF(F42&lt;&gt;"",1+MAX($A$1:A41),"")</f>
        <v>17</v>
      </c>
      <c r="B42" s="726" t="s">
        <v>1370</v>
      </c>
      <c r="C42" s="726" t="s">
        <v>1370</v>
      </c>
      <c r="D42" s="370"/>
      <c r="E42" s="733" t="s">
        <v>1379</v>
      </c>
      <c r="F42" s="738">
        <v>1</v>
      </c>
      <c r="G42" s="127">
        <v>0</v>
      </c>
      <c r="H42" s="140">
        <f t="shared" si="10"/>
        <v>1</v>
      </c>
      <c r="I42" s="141" t="s">
        <v>20</v>
      </c>
      <c r="J42" s="729">
        <v>0</v>
      </c>
      <c r="K42" s="730">
        <f t="shared" si="11"/>
        <v>0</v>
      </c>
      <c r="L42" s="725"/>
    </row>
    <row r="43" spans="1:12" x14ac:dyDescent="0.2">
      <c r="A43" s="714" t="str">
        <f>IF(F43&lt;&gt;"",1+MAX($A$1:A42),"")</f>
        <v/>
      </c>
      <c r="B43" s="141"/>
      <c r="C43" s="723"/>
      <c r="D43" s="368"/>
      <c r="E43" s="812" t="s">
        <v>1380</v>
      </c>
      <c r="F43" s="724"/>
      <c r="G43" s="436"/>
      <c r="H43" s="140"/>
      <c r="I43" s="141"/>
      <c r="J43" s="261"/>
      <c r="K43" s="428"/>
      <c r="L43" s="725"/>
    </row>
    <row r="44" spans="1:12" x14ac:dyDescent="0.2">
      <c r="A44" s="714">
        <f>IF(F44&lt;&gt;"",1+MAX($A$1:A43),"")</f>
        <v>18</v>
      </c>
      <c r="B44" s="726" t="s">
        <v>1370</v>
      </c>
      <c r="C44" s="726" t="s">
        <v>1370</v>
      </c>
      <c r="D44" s="370"/>
      <c r="E44" s="733" t="s">
        <v>1381</v>
      </c>
      <c r="F44" s="738">
        <v>417</v>
      </c>
      <c r="G44" s="127">
        <v>0.1</v>
      </c>
      <c r="H44" s="140">
        <f t="shared" si="8"/>
        <v>458.70000000000005</v>
      </c>
      <c r="I44" s="141" t="s">
        <v>18</v>
      </c>
      <c r="J44" s="729">
        <v>0</v>
      </c>
      <c r="K44" s="730">
        <f t="shared" si="9"/>
        <v>0</v>
      </c>
      <c r="L44" s="725"/>
    </row>
    <row r="45" spans="1:12" ht="16.5" thickBot="1" x14ac:dyDescent="0.25">
      <c r="A45" s="714" t="str">
        <f>IF(F45&lt;&gt;"",1+MAX($A$1:A44),"")</f>
        <v/>
      </c>
      <c r="B45" s="141"/>
      <c r="C45" s="723"/>
      <c r="D45" s="368"/>
      <c r="E45" s="813"/>
      <c r="F45" s="724"/>
      <c r="G45" s="436"/>
      <c r="H45" s="140"/>
      <c r="I45" s="141"/>
      <c r="J45" s="261"/>
      <c r="K45" s="428"/>
      <c r="L45" s="725"/>
    </row>
    <row r="46" spans="1:12" ht="16.5" thickBot="1" x14ac:dyDescent="0.25">
      <c r="A46" s="714" t="str">
        <f>IF(F46&lt;&gt;"",1+MAX($A$1:A45),"")</f>
        <v/>
      </c>
      <c r="B46" s="141"/>
      <c r="C46" s="123"/>
      <c r="D46" s="370"/>
      <c r="E46" s="561" t="s">
        <v>1382</v>
      </c>
      <c r="F46" s="537"/>
      <c r="G46" s="718"/>
      <c r="H46" s="719"/>
      <c r="I46" s="720"/>
      <c r="J46" s="721"/>
      <c r="K46" s="811"/>
      <c r="L46" s="725"/>
    </row>
    <row r="47" spans="1:12" x14ac:dyDescent="0.2">
      <c r="A47" s="714" t="str">
        <f>IF(F47&lt;&gt;"",1+MAX($A$1:A46),"")</f>
        <v/>
      </c>
      <c r="B47" s="141"/>
      <c r="C47" s="723"/>
      <c r="D47" s="368"/>
      <c r="E47" s="812" t="s">
        <v>1369</v>
      </c>
      <c r="F47" s="724"/>
      <c r="G47" s="436"/>
      <c r="H47" s="140"/>
      <c r="I47" s="141"/>
      <c r="J47" s="261"/>
      <c r="K47" s="428"/>
      <c r="L47" s="725"/>
    </row>
    <row r="48" spans="1:12" x14ac:dyDescent="0.2">
      <c r="A48" s="714">
        <f>IF(F48&lt;&gt;"",1+MAX($A$1:A47),"")</f>
        <v>19</v>
      </c>
      <c r="B48" s="726" t="s">
        <v>1383</v>
      </c>
      <c r="C48" s="726" t="s">
        <v>1383</v>
      </c>
      <c r="D48" s="739"/>
      <c r="E48" s="733" t="s">
        <v>1384</v>
      </c>
      <c r="F48" s="738">
        <v>202</v>
      </c>
      <c r="G48" s="127">
        <v>0.1</v>
      </c>
      <c r="H48" s="140">
        <f>F48*(1+G48)</f>
        <v>222.20000000000002</v>
      </c>
      <c r="I48" s="141" t="s">
        <v>15</v>
      </c>
      <c r="J48" s="740">
        <f>J$34</f>
        <v>0</v>
      </c>
      <c r="K48" s="730">
        <f>J48*H48</f>
        <v>0</v>
      </c>
      <c r="L48" s="725"/>
    </row>
    <row r="49" spans="1:13" x14ac:dyDescent="0.2">
      <c r="A49" s="714" t="str">
        <f>IF(F49&lt;&gt;"",1+MAX($A$1:A48),"")</f>
        <v/>
      </c>
      <c r="B49" s="141"/>
      <c r="C49" s="723"/>
      <c r="D49" s="368"/>
      <c r="E49" s="812" t="s">
        <v>1372</v>
      </c>
      <c r="F49" s="724"/>
      <c r="G49" s="436"/>
      <c r="H49" s="140"/>
      <c r="I49" s="141"/>
      <c r="J49" s="261"/>
      <c r="K49" s="428"/>
      <c r="L49" s="725"/>
    </row>
    <row r="50" spans="1:13" x14ac:dyDescent="0.2">
      <c r="A50" s="714">
        <f>IF(F50&lt;&gt;"",1+MAX($A$1:A49),"")</f>
        <v>20</v>
      </c>
      <c r="B50" s="726" t="s">
        <v>1383</v>
      </c>
      <c r="C50" s="726" t="s">
        <v>1383</v>
      </c>
      <c r="D50" s="739"/>
      <c r="E50" s="733" t="s">
        <v>1385</v>
      </c>
      <c r="F50" s="738">
        <v>245</v>
      </c>
      <c r="G50" s="127">
        <v>0.1</v>
      </c>
      <c r="H50" s="140">
        <f t="shared" ref="H50:H54" si="12">F50*(1+G50)</f>
        <v>269.5</v>
      </c>
      <c r="I50" s="141" t="s">
        <v>15</v>
      </c>
      <c r="J50" s="740">
        <f>J$36</f>
        <v>0</v>
      </c>
      <c r="K50" s="730">
        <f t="shared" ref="K50:K54" si="13">J50*H50</f>
        <v>0</v>
      </c>
      <c r="L50" s="725"/>
    </row>
    <row r="51" spans="1:13" x14ac:dyDescent="0.2">
      <c r="A51" s="714" t="str">
        <f>IF(F51&lt;&gt;"",1+MAX($A$1:A50),"")</f>
        <v/>
      </c>
      <c r="B51" s="141"/>
      <c r="C51" s="723"/>
      <c r="D51" s="368"/>
      <c r="E51" s="812" t="s">
        <v>1380</v>
      </c>
      <c r="F51" s="724"/>
      <c r="G51" s="436"/>
      <c r="H51" s="140"/>
      <c r="I51" s="141"/>
      <c r="J51" s="261"/>
      <c r="K51" s="428"/>
      <c r="L51" s="725"/>
    </row>
    <row r="52" spans="1:13" x14ac:dyDescent="0.2">
      <c r="A52" s="714">
        <f>IF(F52&lt;&gt;"",1+MAX($A$1:A51),"")</f>
        <v>21</v>
      </c>
      <c r="B52" s="726" t="s">
        <v>1383</v>
      </c>
      <c r="C52" s="726" t="s">
        <v>1383</v>
      </c>
      <c r="D52" s="739"/>
      <c r="E52" s="733" t="s">
        <v>1386</v>
      </c>
      <c r="F52" s="738">
        <v>208</v>
      </c>
      <c r="G52" s="127">
        <v>0.1</v>
      </c>
      <c r="H52" s="140">
        <f>F52*(1+G52)</f>
        <v>228.8</v>
      </c>
      <c r="I52" s="141" t="s">
        <v>18</v>
      </c>
      <c r="J52" s="740">
        <f>J$44</f>
        <v>0</v>
      </c>
      <c r="K52" s="730">
        <f>J52*H52</f>
        <v>0</v>
      </c>
      <c r="L52" s="725"/>
    </row>
    <row r="53" spans="1:13" x14ac:dyDescent="0.2">
      <c r="A53" s="714" t="str">
        <f>IF(F53&lt;&gt;"",1+MAX($A$1:A52),"")</f>
        <v/>
      </c>
      <c r="B53" s="141"/>
      <c r="C53" s="723"/>
      <c r="D53" s="368"/>
      <c r="E53" s="812" t="s">
        <v>1387</v>
      </c>
      <c r="F53" s="724"/>
      <c r="G53" s="436"/>
      <c r="H53" s="140"/>
      <c r="I53" s="141"/>
      <c r="J53" s="261"/>
      <c r="K53" s="428"/>
      <c r="L53" s="725"/>
    </row>
    <row r="54" spans="1:13" x14ac:dyDescent="0.2">
      <c r="A54" s="714">
        <f>IF(F54&lt;&gt;"",1+MAX($A$1:A53),"")</f>
        <v>22</v>
      </c>
      <c r="B54" s="726" t="s">
        <v>1383</v>
      </c>
      <c r="C54" s="726" t="s">
        <v>1383</v>
      </c>
      <c r="D54" s="739"/>
      <c r="E54" s="733" t="s">
        <v>1388</v>
      </c>
      <c r="F54" s="738">
        <v>24</v>
      </c>
      <c r="G54" s="127">
        <v>0</v>
      </c>
      <c r="H54" s="140">
        <f t="shared" si="12"/>
        <v>24</v>
      </c>
      <c r="I54" s="141" t="s">
        <v>20</v>
      </c>
      <c r="J54" s="729">
        <v>0</v>
      </c>
      <c r="K54" s="730">
        <f t="shared" si="13"/>
        <v>0</v>
      </c>
      <c r="L54" s="725"/>
    </row>
    <row r="55" spans="1:13" ht="79.5" thickBot="1" x14ac:dyDescent="0.25">
      <c r="A55" s="714" t="str">
        <f>IF(F55&lt;&gt;"",1+MAX($A$1:A54),"")</f>
        <v/>
      </c>
      <c r="B55" s="141"/>
      <c r="C55" s="723"/>
      <c r="D55" s="368"/>
      <c r="E55" s="814" t="s">
        <v>1389</v>
      </c>
      <c r="F55" s="573"/>
      <c r="G55" s="574"/>
      <c r="H55" s="573"/>
      <c r="I55" s="575"/>
      <c r="J55" s="741"/>
      <c r="K55" s="577"/>
      <c r="L55" s="578"/>
    </row>
    <row r="56" spans="1:13" ht="16.5" thickBot="1" x14ac:dyDescent="0.25">
      <c r="A56" s="714" t="str">
        <f>IF(F56&lt;&gt;"",1+MAX($A$1:A55),"")</f>
        <v/>
      </c>
      <c r="B56" s="726"/>
      <c r="C56" s="726"/>
      <c r="D56" s="370"/>
      <c r="E56" s="742" t="s">
        <v>1390</v>
      </c>
      <c r="F56" s="738"/>
      <c r="G56" s="743"/>
      <c r="H56" s="128"/>
      <c r="I56" s="129"/>
      <c r="J56" s="744"/>
      <c r="K56" s="69"/>
      <c r="L56" s="49">
        <f>SUM(K8:K55)</f>
        <v>0</v>
      </c>
      <c r="M56" s="745"/>
    </row>
    <row r="57" spans="1:13" ht="16.5" thickBot="1" x14ac:dyDescent="0.25">
      <c r="A57" s="714" t="str">
        <f>IF(F57&lt;&gt;"",1+MAX($A$1:A56),"")</f>
        <v/>
      </c>
      <c r="B57" s="726"/>
      <c r="C57" s="726"/>
      <c r="D57" s="370"/>
      <c r="E57" s="733"/>
      <c r="F57" s="738"/>
      <c r="G57" s="743"/>
      <c r="H57" s="128"/>
      <c r="I57" s="129"/>
      <c r="J57" s="744"/>
      <c r="K57" s="746"/>
      <c r="L57" s="725"/>
    </row>
    <row r="58" spans="1:13" s="377" customFormat="1" ht="16.5" thickBot="1" x14ac:dyDescent="0.25">
      <c r="A58" s="714" t="str">
        <f>IF(F58&lt;&gt;"",1+MAX($A$1:A57),"")</f>
        <v/>
      </c>
      <c r="B58" s="715"/>
      <c r="C58" s="114"/>
      <c r="D58" s="115" t="s">
        <v>1391</v>
      </c>
      <c r="E58" s="116" t="s">
        <v>1392</v>
      </c>
      <c r="F58" s="117"/>
      <c r="G58" s="118"/>
      <c r="H58" s="118"/>
      <c r="I58" s="118"/>
      <c r="J58" s="716"/>
      <c r="K58" s="118"/>
      <c r="L58" s="722"/>
    </row>
    <row r="59" spans="1:13" ht="16.5" thickBot="1" x14ac:dyDescent="0.25">
      <c r="A59" s="714" t="str">
        <f>IF(F59&lt;&gt;"",1+MAX($A$1:A58),"")</f>
        <v/>
      </c>
      <c r="B59" s="141"/>
      <c r="C59" s="123"/>
      <c r="D59" s="370"/>
      <c r="E59" s="544" t="s">
        <v>1393</v>
      </c>
      <c r="F59" s="545"/>
      <c r="G59" s="718"/>
      <c r="H59" s="719"/>
      <c r="I59" s="720"/>
      <c r="J59" s="721"/>
      <c r="K59" s="811"/>
      <c r="L59" s="722"/>
    </row>
    <row r="60" spans="1:13" s="394" customFormat="1" x14ac:dyDescent="0.2">
      <c r="A60" s="714">
        <f>IF(F60&lt;&gt;"",1+MAX($A$1:A59),"")</f>
        <v>23</v>
      </c>
      <c r="B60" s="141" t="s">
        <v>1394</v>
      </c>
      <c r="C60" s="723"/>
      <c r="D60" s="747"/>
      <c r="E60" s="748" t="s">
        <v>1395</v>
      </c>
      <c r="F60" s="139">
        <v>14</v>
      </c>
      <c r="G60" s="127">
        <v>0</v>
      </c>
      <c r="H60" s="140">
        <f t="shared" ref="H60:H93" si="14">F60*(1+G60)</f>
        <v>14</v>
      </c>
      <c r="I60" s="141" t="s">
        <v>20</v>
      </c>
      <c r="J60" s="729">
        <v>0</v>
      </c>
      <c r="K60" s="730">
        <f t="shared" ref="K60:K93" si="15">J60*H60</f>
        <v>0</v>
      </c>
      <c r="L60" s="722"/>
    </row>
    <row r="61" spans="1:13" s="394" customFormat="1" x14ac:dyDescent="0.2">
      <c r="A61" s="714">
        <f>IF(F61&lt;&gt;"",1+MAX($A$1:A60),"")</f>
        <v>24</v>
      </c>
      <c r="B61" s="141" t="s">
        <v>1394</v>
      </c>
      <c r="C61" s="723"/>
      <c r="D61" s="747"/>
      <c r="E61" s="748" t="s">
        <v>1396</v>
      </c>
      <c r="F61" s="139">
        <v>86.72</v>
      </c>
      <c r="G61" s="127">
        <v>0</v>
      </c>
      <c r="H61" s="140">
        <f t="shared" si="14"/>
        <v>86.72</v>
      </c>
      <c r="I61" s="141" t="s">
        <v>15</v>
      </c>
      <c r="J61" s="729">
        <v>0</v>
      </c>
      <c r="K61" s="730">
        <f t="shared" si="15"/>
        <v>0</v>
      </c>
      <c r="L61" s="722"/>
    </row>
    <row r="62" spans="1:13" s="394" customFormat="1" x14ac:dyDescent="0.2">
      <c r="A62" s="714">
        <f>IF(F62&lt;&gt;"",1+MAX($A$1:A61),"")</f>
        <v>25</v>
      </c>
      <c r="B62" s="141" t="s">
        <v>1394</v>
      </c>
      <c r="C62" s="723"/>
      <c r="D62" s="747"/>
      <c r="E62" s="748" t="s">
        <v>1397</v>
      </c>
      <c r="F62" s="139">
        <v>52.51</v>
      </c>
      <c r="G62" s="127">
        <v>0</v>
      </c>
      <c r="H62" s="140">
        <f t="shared" si="14"/>
        <v>52.51</v>
      </c>
      <c r="I62" s="141" t="s">
        <v>15</v>
      </c>
      <c r="J62" s="729">
        <v>0</v>
      </c>
      <c r="K62" s="730">
        <f t="shared" si="15"/>
        <v>0</v>
      </c>
      <c r="L62" s="722"/>
    </row>
    <row r="63" spans="1:13" s="394" customFormat="1" x14ac:dyDescent="0.2">
      <c r="A63" s="714">
        <f>IF(F63&lt;&gt;"",1+MAX($A$1:A62),"")</f>
        <v>26</v>
      </c>
      <c r="B63" s="141" t="s">
        <v>1394</v>
      </c>
      <c r="C63" s="723"/>
      <c r="D63" s="747"/>
      <c r="E63" s="748" t="s">
        <v>1398</v>
      </c>
      <c r="F63" s="139">
        <v>1</v>
      </c>
      <c r="G63" s="127">
        <v>0</v>
      </c>
      <c r="H63" s="140">
        <f t="shared" si="14"/>
        <v>1</v>
      </c>
      <c r="I63" s="141" t="s">
        <v>20</v>
      </c>
      <c r="J63" s="729">
        <v>0</v>
      </c>
      <c r="K63" s="730">
        <f t="shared" si="15"/>
        <v>0</v>
      </c>
      <c r="L63" s="722"/>
    </row>
    <row r="64" spans="1:13" s="394" customFormat="1" x14ac:dyDescent="0.2">
      <c r="A64" s="714">
        <f>IF(F64&lt;&gt;"",1+MAX($A$1:A63),"")</f>
        <v>27</v>
      </c>
      <c r="B64" s="141" t="s">
        <v>1394</v>
      </c>
      <c r="C64" s="723"/>
      <c r="D64" s="726"/>
      <c r="E64" s="748" t="s">
        <v>1399</v>
      </c>
      <c r="F64" s="139">
        <v>4</v>
      </c>
      <c r="G64" s="127">
        <v>0</v>
      </c>
      <c r="H64" s="140">
        <f>F64*(1+G64)</f>
        <v>4</v>
      </c>
      <c r="I64" s="141" t="s">
        <v>20</v>
      </c>
      <c r="J64" s="729">
        <v>0</v>
      </c>
      <c r="K64" s="730">
        <f>J64*H64</f>
        <v>0</v>
      </c>
      <c r="L64" s="722"/>
      <c r="M64" s="749"/>
    </row>
    <row r="65" spans="1:13" s="394" customFormat="1" x14ac:dyDescent="0.2">
      <c r="A65" s="714">
        <f>IF(F65&lt;&gt;"",1+MAX($A$1:A64),"")</f>
        <v>28</v>
      </c>
      <c r="B65" s="141" t="s">
        <v>1394</v>
      </c>
      <c r="C65" s="723"/>
      <c r="D65" s="726"/>
      <c r="E65" s="748" t="s">
        <v>1400</v>
      </c>
      <c r="F65" s="139">
        <v>2363</v>
      </c>
      <c r="G65" s="127">
        <v>0</v>
      </c>
      <c r="H65" s="140">
        <f>F65*(1+G65)</f>
        <v>2363</v>
      </c>
      <c r="I65" s="141" t="s">
        <v>18</v>
      </c>
      <c r="J65" s="729">
        <v>0</v>
      </c>
      <c r="K65" s="730">
        <f>J65*H65</f>
        <v>0</v>
      </c>
      <c r="L65" s="722"/>
      <c r="M65" s="749"/>
    </row>
    <row r="66" spans="1:13" s="394" customFormat="1" x14ac:dyDescent="0.2">
      <c r="A66" s="714">
        <f>IF(F66&lt;&gt;"",1+MAX($A$1:A65),"")</f>
        <v>29</v>
      </c>
      <c r="B66" s="141" t="s">
        <v>1394</v>
      </c>
      <c r="C66" s="723"/>
      <c r="D66" s="726"/>
      <c r="E66" s="748" t="s">
        <v>1397</v>
      </c>
      <c r="F66" s="139">
        <v>48.54</v>
      </c>
      <c r="G66" s="127">
        <v>0</v>
      </c>
      <c r="H66" s="140">
        <f>F66*(1+G66)</f>
        <v>48.54</v>
      </c>
      <c r="I66" s="141" t="s">
        <v>15</v>
      </c>
      <c r="J66" s="731">
        <f>J$62</f>
        <v>0</v>
      </c>
      <c r="K66" s="730">
        <f>J66*H66</f>
        <v>0</v>
      </c>
      <c r="L66" s="722"/>
      <c r="M66" s="749"/>
    </row>
    <row r="67" spans="1:13" s="394" customFormat="1" x14ac:dyDescent="0.2">
      <c r="A67" s="714">
        <f>IF(F67&lt;&gt;"",1+MAX($A$1:A66),"")</f>
        <v>30</v>
      </c>
      <c r="B67" s="141" t="s">
        <v>1394</v>
      </c>
      <c r="C67" s="723"/>
      <c r="D67" s="747"/>
      <c r="E67" s="748" t="s">
        <v>1401</v>
      </c>
      <c r="F67" s="139">
        <v>1.63</v>
      </c>
      <c r="G67" s="127">
        <v>0</v>
      </c>
      <c r="H67" s="140">
        <f t="shared" si="14"/>
        <v>1.63</v>
      </c>
      <c r="I67" s="141" t="s">
        <v>15</v>
      </c>
      <c r="J67" s="731">
        <f>J$62</f>
        <v>0</v>
      </c>
      <c r="K67" s="730">
        <f t="shared" si="15"/>
        <v>0</v>
      </c>
      <c r="L67" s="722"/>
    </row>
    <row r="68" spans="1:13" s="394" customFormat="1" x14ac:dyDescent="0.2">
      <c r="A68" s="714">
        <f>IF(F68&lt;&gt;"",1+MAX($A$1:A67),"")</f>
        <v>31</v>
      </c>
      <c r="B68" s="141" t="s">
        <v>1394</v>
      </c>
      <c r="C68" s="723"/>
      <c r="D68" s="747"/>
      <c r="E68" s="748" t="s">
        <v>1402</v>
      </c>
      <c r="F68" s="139">
        <v>1</v>
      </c>
      <c r="G68" s="127">
        <v>0</v>
      </c>
      <c r="H68" s="140">
        <f t="shared" si="14"/>
        <v>1</v>
      </c>
      <c r="I68" s="141" t="s">
        <v>20</v>
      </c>
      <c r="J68" s="729">
        <v>0</v>
      </c>
      <c r="K68" s="730">
        <f t="shared" si="15"/>
        <v>0</v>
      </c>
      <c r="L68" s="722"/>
    </row>
    <row r="69" spans="1:13" s="394" customFormat="1" x14ac:dyDescent="0.2">
      <c r="A69" s="714">
        <f>IF(F69&lt;&gt;"",1+MAX($A$1:A68),"")</f>
        <v>32</v>
      </c>
      <c r="B69" s="141" t="s">
        <v>1394</v>
      </c>
      <c r="C69" s="723"/>
      <c r="D69" s="747"/>
      <c r="E69" s="748" t="s">
        <v>1397</v>
      </c>
      <c r="F69" s="139">
        <v>5.0999999999999996</v>
      </c>
      <c r="G69" s="127">
        <v>0</v>
      </c>
      <c r="H69" s="140">
        <f t="shared" si="14"/>
        <v>5.0999999999999996</v>
      </c>
      <c r="I69" s="141" t="s">
        <v>15</v>
      </c>
      <c r="J69" s="731">
        <f>J$62</f>
        <v>0</v>
      </c>
      <c r="K69" s="730">
        <f t="shared" si="15"/>
        <v>0</v>
      </c>
      <c r="L69" s="722"/>
    </row>
    <row r="70" spans="1:13" s="394" customFormat="1" x14ac:dyDescent="0.2">
      <c r="A70" s="714">
        <f>IF(F70&lt;&gt;"",1+MAX($A$1:A69),"")</f>
        <v>33</v>
      </c>
      <c r="B70" s="141" t="s">
        <v>1394</v>
      </c>
      <c r="C70" s="723"/>
      <c r="D70" s="726"/>
      <c r="E70" s="748" t="s">
        <v>1401</v>
      </c>
      <c r="F70" s="139">
        <v>2.65</v>
      </c>
      <c r="G70" s="127">
        <v>0</v>
      </c>
      <c r="H70" s="140">
        <f>F70*(1+G70)</f>
        <v>2.65</v>
      </c>
      <c r="I70" s="141" t="s">
        <v>15</v>
      </c>
      <c r="J70" s="731">
        <f>J$62</f>
        <v>0</v>
      </c>
      <c r="K70" s="730">
        <f>J70*H70</f>
        <v>0</v>
      </c>
      <c r="L70" s="722"/>
      <c r="M70" s="749"/>
    </row>
    <row r="71" spans="1:13" s="394" customFormat="1" x14ac:dyDescent="0.2">
      <c r="A71" s="714">
        <f>IF(F71&lt;&gt;"",1+MAX($A$1:A70),"")</f>
        <v>34</v>
      </c>
      <c r="B71" s="141" t="s">
        <v>1394</v>
      </c>
      <c r="C71" s="723"/>
      <c r="D71" s="726"/>
      <c r="E71" s="748" t="s">
        <v>1401</v>
      </c>
      <c r="F71" s="139">
        <v>43.88</v>
      </c>
      <c r="G71" s="127">
        <v>0</v>
      </c>
      <c r="H71" s="140">
        <f>F71*(1+G71)</f>
        <v>43.88</v>
      </c>
      <c r="I71" s="141" t="s">
        <v>15</v>
      </c>
      <c r="J71" s="731">
        <f>J$62</f>
        <v>0</v>
      </c>
      <c r="K71" s="730">
        <f>J71*H71</f>
        <v>0</v>
      </c>
      <c r="L71" s="722"/>
      <c r="M71" s="749"/>
    </row>
    <row r="72" spans="1:13" s="394" customFormat="1" x14ac:dyDescent="0.2">
      <c r="A72" s="714">
        <f>IF(F72&lt;&gt;"",1+MAX($A$1:A71),"")</f>
        <v>35</v>
      </c>
      <c r="B72" s="141" t="s">
        <v>1394</v>
      </c>
      <c r="C72" s="723"/>
      <c r="D72" s="726"/>
      <c r="E72" s="748" t="s">
        <v>1403</v>
      </c>
      <c r="F72" s="139">
        <v>50.13</v>
      </c>
      <c r="G72" s="127">
        <v>0</v>
      </c>
      <c r="H72" s="140">
        <f>F72*(1+G72)</f>
        <v>50.13</v>
      </c>
      <c r="I72" s="141" t="s">
        <v>15</v>
      </c>
      <c r="J72" s="731">
        <f>J$61</f>
        <v>0</v>
      </c>
      <c r="K72" s="730">
        <f>J72*H72</f>
        <v>0</v>
      </c>
      <c r="L72" s="722"/>
      <c r="M72" s="749"/>
    </row>
    <row r="73" spans="1:13" s="394" customFormat="1" x14ac:dyDescent="0.2">
      <c r="A73" s="714">
        <f>IF(F73&lt;&gt;"",1+MAX($A$1:A72),"")</f>
        <v>36</v>
      </c>
      <c r="B73" s="141" t="s">
        <v>1394</v>
      </c>
      <c r="C73" s="723"/>
      <c r="D73" s="747"/>
      <c r="E73" s="748" t="s">
        <v>1404</v>
      </c>
      <c r="F73" s="139">
        <v>11</v>
      </c>
      <c r="G73" s="127">
        <v>0</v>
      </c>
      <c r="H73" s="140">
        <f t="shared" ref="H73:H75" si="16">F73*(1+G73)</f>
        <v>11</v>
      </c>
      <c r="I73" s="141" t="s">
        <v>18</v>
      </c>
      <c r="J73" s="729">
        <v>0</v>
      </c>
      <c r="K73" s="730">
        <f t="shared" ref="K73:K75" si="17">J73*H73</f>
        <v>0</v>
      </c>
      <c r="L73" s="722"/>
    </row>
    <row r="74" spans="1:13" s="394" customFormat="1" x14ac:dyDescent="0.2">
      <c r="A74" s="714">
        <f>IF(F74&lt;&gt;"",1+MAX($A$1:A73),"")</f>
        <v>37</v>
      </c>
      <c r="B74" s="141" t="s">
        <v>1394</v>
      </c>
      <c r="C74" s="723"/>
      <c r="D74" s="747"/>
      <c r="E74" s="748" t="s">
        <v>1405</v>
      </c>
      <c r="F74" s="139">
        <v>3</v>
      </c>
      <c r="G74" s="127">
        <v>0</v>
      </c>
      <c r="H74" s="140">
        <f t="shared" si="16"/>
        <v>3</v>
      </c>
      <c r="I74" s="141" t="s">
        <v>20</v>
      </c>
      <c r="J74" s="731">
        <f>J$64</f>
        <v>0</v>
      </c>
      <c r="K74" s="730">
        <f t="shared" si="17"/>
        <v>0</v>
      </c>
      <c r="L74" s="722"/>
    </row>
    <row r="75" spans="1:13" s="394" customFormat="1" x14ac:dyDescent="0.2">
      <c r="A75" s="714">
        <f>IF(F75&lt;&gt;"",1+MAX($A$1:A74),"")</f>
        <v>38</v>
      </c>
      <c r="B75" s="141" t="s">
        <v>1394</v>
      </c>
      <c r="C75" s="723"/>
      <c r="D75" s="747"/>
      <c r="E75" s="748" t="s">
        <v>1397</v>
      </c>
      <c r="F75" s="139">
        <v>92.77</v>
      </c>
      <c r="G75" s="127">
        <v>0</v>
      </c>
      <c r="H75" s="140">
        <f t="shared" si="16"/>
        <v>92.77</v>
      </c>
      <c r="I75" s="141" t="s">
        <v>15</v>
      </c>
      <c r="J75" s="731">
        <f>J$62</f>
        <v>0</v>
      </c>
      <c r="K75" s="730">
        <f t="shared" si="17"/>
        <v>0</v>
      </c>
      <c r="L75" s="722"/>
    </row>
    <row r="76" spans="1:13" s="394" customFormat="1" ht="31.5" x14ac:dyDescent="0.2">
      <c r="A76" s="714">
        <f>IF(F76&lt;&gt;"",1+MAX($A$1:A75),"")</f>
        <v>39</v>
      </c>
      <c r="B76" s="141" t="s">
        <v>1394</v>
      </c>
      <c r="C76" s="723"/>
      <c r="D76" s="726"/>
      <c r="E76" s="748" t="s">
        <v>1831</v>
      </c>
      <c r="F76" s="139">
        <v>1</v>
      </c>
      <c r="G76" s="127">
        <v>0</v>
      </c>
      <c r="H76" s="140">
        <f>F76*(1+G76)</f>
        <v>1</v>
      </c>
      <c r="I76" s="141" t="s">
        <v>1358</v>
      </c>
      <c r="J76" s="729">
        <v>0</v>
      </c>
      <c r="K76" s="730">
        <f>J76*H76</f>
        <v>0</v>
      </c>
      <c r="L76" s="722"/>
      <c r="M76" s="749"/>
    </row>
    <row r="77" spans="1:13" s="394" customFormat="1" x14ac:dyDescent="0.2">
      <c r="A77" s="714">
        <f>IF(F77&lt;&gt;"",1+MAX($A$1:A76),"")</f>
        <v>40</v>
      </c>
      <c r="B77" s="141" t="s">
        <v>1394</v>
      </c>
      <c r="C77" s="723"/>
      <c r="D77" s="726"/>
      <c r="E77" s="748" t="s">
        <v>1401</v>
      </c>
      <c r="F77" s="139">
        <v>10.55</v>
      </c>
      <c r="G77" s="127">
        <v>0</v>
      </c>
      <c r="H77" s="140">
        <f>F77*(1+G77)</f>
        <v>10.55</v>
      </c>
      <c r="I77" s="141" t="s">
        <v>15</v>
      </c>
      <c r="J77" s="731">
        <f>J$62</f>
        <v>0</v>
      </c>
      <c r="K77" s="730">
        <f>J77*H77</f>
        <v>0</v>
      </c>
      <c r="L77" s="722"/>
      <c r="M77" s="749"/>
    </row>
    <row r="78" spans="1:13" s="394" customFormat="1" x14ac:dyDescent="0.2">
      <c r="A78" s="714">
        <f>IF(F78&lt;&gt;"",1+MAX($A$1:A77),"")</f>
        <v>41</v>
      </c>
      <c r="B78" s="141" t="s">
        <v>1394</v>
      </c>
      <c r="C78" s="723"/>
      <c r="D78" s="726"/>
      <c r="E78" s="748" t="s">
        <v>1403</v>
      </c>
      <c r="F78" s="139">
        <v>6.03</v>
      </c>
      <c r="G78" s="127">
        <v>0</v>
      </c>
      <c r="H78" s="140">
        <f>F78*(1+G78)</f>
        <v>6.03</v>
      </c>
      <c r="I78" s="141" t="s">
        <v>15</v>
      </c>
      <c r="J78" s="731">
        <f>J$61</f>
        <v>0</v>
      </c>
      <c r="K78" s="730">
        <f>J78*H78</f>
        <v>0</v>
      </c>
      <c r="L78" s="722"/>
      <c r="M78" s="749"/>
    </row>
    <row r="79" spans="1:13" s="394" customFormat="1" x14ac:dyDescent="0.2">
      <c r="A79" s="714">
        <f>IF(F79&lt;&gt;"",1+MAX($A$1:A78),"")</f>
        <v>42</v>
      </c>
      <c r="B79" s="141" t="s">
        <v>1394</v>
      </c>
      <c r="C79" s="723"/>
      <c r="D79" s="726"/>
      <c r="E79" s="748" t="s">
        <v>1406</v>
      </c>
      <c r="F79" s="139">
        <f>901+1490</f>
        <v>2391</v>
      </c>
      <c r="G79" s="127">
        <v>0</v>
      </c>
      <c r="H79" s="140">
        <f t="shared" si="14"/>
        <v>2391</v>
      </c>
      <c r="I79" s="141" t="s">
        <v>18</v>
      </c>
      <c r="J79" s="729">
        <v>0</v>
      </c>
      <c r="K79" s="730">
        <f t="shared" si="15"/>
        <v>0</v>
      </c>
      <c r="L79" s="722"/>
    </row>
    <row r="80" spans="1:13" s="394" customFormat="1" x14ac:dyDescent="0.2">
      <c r="A80" s="714">
        <f>IF(F80&lt;&gt;"",1+MAX($A$1:A79),"")</f>
        <v>43</v>
      </c>
      <c r="B80" s="141" t="s">
        <v>1394</v>
      </c>
      <c r="C80" s="723"/>
      <c r="D80" s="747"/>
      <c r="E80" s="748" t="s">
        <v>1397</v>
      </c>
      <c r="F80" s="139">
        <v>4</v>
      </c>
      <c r="G80" s="127">
        <v>0</v>
      </c>
      <c r="H80" s="140">
        <f>F80*(1+G80)</f>
        <v>4</v>
      </c>
      <c r="I80" s="141" t="s">
        <v>15</v>
      </c>
      <c r="J80" s="731">
        <f>J$62</f>
        <v>0</v>
      </c>
      <c r="K80" s="730">
        <f t="shared" si="15"/>
        <v>0</v>
      </c>
      <c r="L80" s="722"/>
    </row>
    <row r="81" spans="1:13" s="394" customFormat="1" ht="17.25" customHeight="1" x14ac:dyDescent="0.2">
      <c r="A81" s="714">
        <f>IF(F81&lt;&gt;"",1+MAX($A$1:A80),"")</f>
        <v>44</v>
      </c>
      <c r="B81" s="141" t="s">
        <v>1394</v>
      </c>
      <c r="C81" s="723"/>
      <c r="D81" s="747"/>
      <c r="E81" s="748" t="s">
        <v>1407</v>
      </c>
      <c r="F81" s="139">
        <f>5947+50+732</f>
        <v>6729</v>
      </c>
      <c r="G81" s="127">
        <v>0</v>
      </c>
      <c r="H81" s="140">
        <f t="shared" si="14"/>
        <v>6729</v>
      </c>
      <c r="I81" s="141" t="s">
        <v>18</v>
      </c>
      <c r="J81" s="729">
        <v>0</v>
      </c>
      <c r="K81" s="730">
        <f t="shared" si="15"/>
        <v>0</v>
      </c>
      <c r="L81" s="722"/>
    </row>
    <row r="82" spans="1:13" s="394" customFormat="1" x14ac:dyDescent="0.2">
      <c r="A82" s="714">
        <f>IF(F82&lt;&gt;"",1+MAX($A$1:A81),"")</f>
        <v>45</v>
      </c>
      <c r="B82" s="141" t="s">
        <v>1394</v>
      </c>
      <c r="C82" s="723"/>
      <c r="D82" s="726"/>
      <c r="E82" s="748" t="s">
        <v>1397</v>
      </c>
      <c r="F82" s="139">
        <v>43.66</v>
      </c>
      <c r="G82" s="127">
        <v>0</v>
      </c>
      <c r="H82" s="140">
        <f>F82*(1+G82)</f>
        <v>43.66</v>
      </c>
      <c r="I82" s="141" t="s">
        <v>15</v>
      </c>
      <c r="J82" s="731">
        <f>J$62</f>
        <v>0</v>
      </c>
      <c r="K82" s="730">
        <f>J82*H82</f>
        <v>0</v>
      </c>
      <c r="L82" s="722"/>
      <c r="M82" s="749"/>
    </row>
    <row r="83" spans="1:13" s="394" customFormat="1" x14ac:dyDescent="0.2">
      <c r="A83" s="714">
        <f>IF(F83&lt;&gt;"",1+MAX($A$1:A82),"")</f>
        <v>46</v>
      </c>
      <c r="B83" s="141" t="s">
        <v>1394</v>
      </c>
      <c r="C83" s="723"/>
      <c r="D83" s="726"/>
      <c r="E83" s="748" t="s">
        <v>1400</v>
      </c>
      <c r="F83" s="139">
        <v>69</v>
      </c>
      <c r="G83" s="127">
        <v>0</v>
      </c>
      <c r="H83" s="140">
        <f>F83*(1+G83)</f>
        <v>69</v>
      </c>
      <c r="I83" s="141" t="s">
        <v>18</v>
      </c>
      <c r="J83" s="729">
        <v>0</v>
      </c>
      <c r="K83" s="730">
        <f>J83*H83</f>
        <v>0</v>
      </c>
      <c r="L83" s="722"/>
      <c r="M83" s="749"/>
    </row>
    <row r="84" spans="1:13" s="394" customFormat="1" x14ac:dyDescent="0.2">
      <c r="A84" s="714">
        <f>IF(F84&lt;&gt;"",1+MAX($A$1:A83),"")</f>
        <v>47</v>
      </c>
      <c r="B84" s="141" t="s">
        <v>1394</v>
      </c>
      <c r="C84" s="723"/>
      <c r="D84" s="726"/>
      <c r="E84" s="748" t="s">
        <v>1404</v>
      </c>
      <c r="F84" s="139">
        <v>13</v>
      </c>
      <c r="G84" s="127">
        <v>0</v>
      </c>
      <c r="H84" s="140">
        <f>F84*(1+G84)</f>
        <v>13</v>
      </c>
      <c r="I84" s="141" t="s">
        <v>18</v>
      </c>
      <c r="J84" s="729">
        <v>0</v>
      </c>
      <c r="K84" s="730">
        <f>J84*H84</f>
        <v>0</v>
      </c>
      <c r="L84" s="722"/>
      <c r="M84" s="749"/>
    </row>
    <row r="85" spans="1:13" s="394" customFormat="1" x14ac:dyDescent="0.2">
      <c r="A85" s="714">
        <f>IF(F85&lt;&gt;"",1+MAX($A$1:A84),"")</f>
        <v>48</v>
      </c>
      <c r="B85" s="141" t="s">
        <v>1394</v>
      </c>
      <c r="C85" s="723"/>
      <c r="D85" s="747"/>
      <c r="E85" s="748" t="s">
        <v>1401</v>
      </c>
      <c r="F85" s="139">
        <v>5.16</v>
      </c>
      <c r="G85" s="127">
        <v>0</v>
      </c>
      <c r="H85" s="140">
        <f t="shared" ref="H85" si="18">F85*(1+G85)</f>
        <v>5.16</v>
      </c>
      <c r="I85" s="141" t="s">
        <v>15</v>
      </c>
      <c r="J85" s="731">
        <f>J$62</f>
        <v>0</v>
      </c>
      <c r="K85" s="730">
        <f t="shared" ref="K85" si="19">J85*H85</f>
        <v>0</v>
      </c>
      <c r="L85" s="722"/>
    </row>
    <row r="86" spans="1:13" s="394" customFormat="1" x14ac:dyDescent="0.2">
      <c r="A86" s="714">
        <f>IF(F86&lt;&gt;"",1+MAX($A$1:A85),"")</f>
        <v>49</v>
      </c>
      <c r="B86" s="141" t="s">
        <v>1394</v>
      </c>
      <c r="C86" s="723"/>
      <c r="D86" s="726"/>
      <c r="E86" s="748" t="s">
        <v>1402</v>
      </c>
      <c r="F86" s="139">
        <v>1</v>
      </c>
      <c r="G86" s="127">
        <v>0</v>
      </c>
      <c r="H86" s="140">
        <f>F86*(1+G86)</f>
        <v>1</v>
      </c>
      <c r="I86" s="141" t="s">
        <v>20</v>
      </c>
      <c r="J86" s="729">
        <v>0</v>
      </c>
      <c r="K86" s="730">
        <f>J86*H86</f>
        <v>0</v>
      </c>
      <c r="L86" s="722"/>
      <c r="M86" s="749"/>
    </row>
    <row r="87" spans="1:13" s="394" customFormat="1" x14ac:dyDescent="0.2">
      <c r="A87" s="714">
        <f>IF(F87&lt;&gt;"",1+MAX($A$1:A86),"")</f>
        <v>50</v>
      </c>
      <c r="B87" s="141" t="s">
        <v>1394</v>
      </c>
      <c r="C87" s="723"/>
      <c r="D87" s="726"/>
      <c r="E87" s="748" t="s">
        <v>1397</v>
      </c>
      <c r="F87" s="139">
        <v>3.78</v>
      </c>
      <c r="G87" s="127">
        <v>0</v>
      </c>
      <c r="H87" s="140">
        <f>F87*(1+G87)</f>
        <v>3.78</v>
      </c>
      <c r="I87" s="141" t="s">
        <v>15</v>
      </c>
      <c r="J87" s="731">
        <f t="shared" ref="J87:J89" si="20">J$62</f>
        <v>0</v>
      </c>
      <c r="K87" s="730">
        <f>J87*H87</f>
        <v>0</v>
      </c>
      <c r="L87" s="722"/>
      <c r="M87" s="749"/>
    </row>
    <row r="88" spans="1:13" s="394" customFormat="1" x14ac:dyDescent="0.2">
      <c r="A88" s="714">
        <f>IF(F88&lt;&gt;"",1+MAX($A$1:A87),"")</f>
        <v>51</v>
      </c>
      <c r="B88" s="141" t="s">
        <v>1394</v>
      </c>
      <c r="C88" s="723"/>
      <c r="D88" s="726"/>
      <c r="E88" s="748" t="s">
        <v>1397</v>
      </c>
      <c r="F88" s="139">
        <v>449.31</v>
      </c>
      <c r="G88" s="127">
        <v>0</v>
      </c>
      <c r="H88" s="140">
        <f>F88*(1+G88)</f>
        <v>449.31</v>
      </c>
      <c r="I88" s="141" t="s">
        <v>15</v>
      </c>
      <c r="J88" s="731">
        <f t="shared" si="20"/>
        <v>0</v>
      </c>
      <c r="K88" s="730">
        <f>J88*H88</f>
        <v>0</v>
      </c>
      <c r="L88" s="722"/>
      <c r="M88" s="749"/>
    </row>
    <row r="89" spans="1:13" s="394" customFormat="1" x14ac:dyDescent="0.2">
      <c r="A89" s="714">
        <f>IF(F89&lt;&gt;"",1+MAX($A$1:A88),"")</f>
        <v>52</v>
      </c>
      <c r="B89" s="141" t="s">
        <v>1394</v>
      </c>
      <c r="C89" s="723"/>
      <c r="D89" s="747"/>
      <c r="E89" s="748" t="s">
        <v>1397</v>
      </c>
      <c r="F89" s="139">
        <v>34.79</v>
      </c>
      <c r="G89" s="127">
        <v>0</v>
      </c>
      <c r="H89" s="140">
        <f t="shared" si="14"/>
        <v>34.79</v>
      </c>
      <c r="I89" s="141" t="s">
        <v>15</v>
      </c>
      <c r="J89" s="731">
        <f t="shared" si="20"/>
        <v>0</v>
      </c>
      <c r="K89" s="730">
        <f t="shared" si="15"/>
        <v>0</v>
      </c>
      <c r="L89" s="722"/>
    </row>
    <row r="90" spans="1:13" s="394" customFormat="1" x14ac:dyDescent="0.2">
      <c r="A90" s="714">
        <f>IF(F90&lt;&gt;"",1+MAX($A$1:A89),"")</f>
        <v>53</v>
      </c>
      <c r="B90" s="141" t="s">
        <v>1394</v>
      </c>
      <c r="C90" s="723"/>
      <c r="D90" s="747"/>
      <c r="E90" s="748" t="s">
        <v>1401</v>
      </c>
      <c r="F90" s="139">
        <v>72.28</v>
      </c>
      <c r="G90" s="127">
        <v>0</v>
      </c>
      <c r="H90" s="140">
        <f t="shared" si="14"/>
        <v>72.28</v>
      </c>
      <c r="I90" s="141" t="s">
        <v>15</v>
      </c>
      <c r="J90" s="731">
        <f t="shared" ref="J90:J91" si="21">J$62</f>
        <v>0</v>
      </c>
      <c r="K90" s="730">
        <f t="shared" si="15"/>
        <v>0</v>
      </c>
      <c r="L90" s="722"/>
    </row>
    <row r="91" spans="1:13" s="394" customFormat="1" x14ac:dyDescent="0.2">
      <c r="A91" s="714">
        <f>IF(F91&lt;&gt;"",1+MAX($A$1:A90),"")</f>
        <v>54</v>
      </c>
      <c r="B91" s="141" t="s">
        <v>1394</v>
      </c>
      <c r="C91" s="723"/>
      <c r="D91" s="726"/>
      <c r="E91" s="748" t="s">
        <v>1397</v>
      </c>
      <c r="F91" s="139">
        <v>154.04</v>
      </c>
      <c r="G91" s="127">
        <v>0</v>
      </c>
      <c r="H91" s="140">
        <f>F91*(1+G91)</f>
        <v>154.04</v>
      </c>
      <c r="I91" s="141" t="s">
        <v>15</v>
      </c>
      <c r="J91" s="731">
        <f t="shared" si="21"/>
        <v>0</v>
      </c>
      <c r="K91" s="730">
        <f>J91*H91</f>
        <v>0</v>
      </c>
      <c r="L91" s="722"/>
      <c r="M91" s="749"/>
    </row>
    <row r="92" spans="1:13" s="394" customFormat="1" x14ac:dyDescent="0.2">
      <c r="A92" s="714">
        <f>IF(F92&lt;&gt;"",1+MAX($A$1:A91),"")</f>
        <v>55</v>
      </c>
      <c r="B92" s="141" t="s">
        <v>1394</v>
      </c>
      <c r="C92" s="723"/>
      <c r="D92" s="726"/>
      <c r="E92" s="748" t="s">
        <v>1396</v>
      </c>
      <c r="F92" s="139">
        <v>50.27</v>
      </c>
      <c r="G92" s="127">
        <v>0</v>
      </c>
      <c r="H92" s="140">
        <f>F92*(1+G92)</f>
        <v>50.27</v>
      </c>
      <c r="I92" s="141" t="s">
        <v>15</v>
      </c>
      <c r="J92" s="731">
        <f>J$61</f>
        <v>0</v>
      </c>
      <c r="K92" s="730">
        <f>J92*H92</f>
        <v>0</v>
      </c>
      <c r="L92" s="722"/>
      <c r="M92" s="749"/>
    </row>
    <row r="93" spans="1:13" s="394" customFormat="1" x14ac:dyDescent="0.2">
      <c r="A93" s="714">
        <f>IF(F93&lt;&gt;"",1+MAX($A$1:A92),"")</f>
        <v>56</v>
      </c>
      <c r="B93" s="141" t="s">
        <v>1394</v>
      </c>
      <c r="C93" s="723"/>
      <c r="D93" s="747"/>
      <c r="E93" s="748" t="s">
        <v>1408</v>
      </c>
      <c r="F93" s="139">
        <v>3</v>
      </c>
      <c r="G93" s="127">
        <v>0</v>
      </c>
      <c r="H93" s="140">
        <f t="shared" si="14"/>
        <v>3</v>
      </c>
      <c r="I93" s="141" t="s">
        <v>20</v>
      </c>
      <c r="J93" s="729">
        <v>0</v>
      </c>
      <c r="K93" s="730">
        <f t="shared" si="15"/>
        <v>0</v>
      </c>
      <c r="L93" s="722"/>
    </row>
    <row r="94" spans="1:13" s="394" customFormat="1" x14ac:dyDescent="0.2">
      <c r="A94" s="714">
        <f>IF(F94&lt;&gt;"",1+MAX($A$1:A93),"")</f>
        <v>57</v>
      </c>
      <c r="B94" s="141" t="s">
        <v>1394</v>
      </c>
      <c r="C94" s="723"/>
      <c r="D94" s="726"/>
      <c r="E94" s="748" t="s">
        <v>1397</v>
      </c>
      <c r="F94" s="139">
        <v>66.06</v>
      </c>
      <c r="G94" s="127">
        <v>0</v>
      </c>
      <c r="H94" s="140">
        <f>F94*(1+G94)</f>
        <v>66.06</v>
      </c>
      <c r="I94" s="141" t="s">
        <v>15</v>
      </c>
      <c r="J94" s="731">
        <f t="shared" ref="J94:J95" si="22">J$62</f>
        <v>0</v>
      </c>
      <c r="K94" s="730">
        <f>J94*H94</f>
        <v>0</v>
      </c>
      <c r="L94" s="722"/>
      <c r="M94" s="749"/>
    </row>
    <row r="95" spans="1:13" s="394" customFormat="1" x14ac:dyDescent="0.2">
      <c r="A95" s="714">
        <f>IF(F95&lt;&gt;"",1+MAX($A$1:A94),"")</f>
        <v>58</v>
      </c>
      <c r="B95" s="141" t="s">
        <v>1394</v>
      </c>
      <c r="C95" s="723"/>
      <c r="D95" s="726"/>
      <c r="E95" s="748" t="s">
        <v>1401</v>
      </c>
      <c r="F95" s="139">
        <v>10.38</v>
      </c>
      <c r="G95" s="127">
        <v>0</v>
      </c>
      <c r="H95" s="140">
        <f>F95*(1+G95)</f>
        <v>10.38</v>
      </c>
      <c r="I95" s="141" t="s">
        <v>15</v>
      </c>
      <c r="J95" s="731">
        <f t="shared" si="22"/>
        <v>0</v>
      </c>
      <c r="K95" s="730">
        <f>J95*H95</f>
        <v>0</v>
      </c>
      <c r="L95" s="722"/>
      <c r="M95" s="749"/>
    </row>
    <row r="96" spans="1:13" s="394" customFormat="1" x14ac:dyDescent="0.2">
      <c r="A96" s="714">
        <f>IF(F96&lt;&gt;"",1+MAX($A$1:A95),"")</f>
        <v>59</v>
      </c>
      <c r="B96" s="141" t="s">
        <v>1394</v>
      </c>
      <c r="C96" s="723"/>
      <c r="D96" s="726"/>
      <c r="E96" s="748" t="s">
        <v>1403</v>
      </c>
      <c r="F96" s="139">
        <v>8.34</v>
      </c>
      <c r="G96" s="127">
        <v>0</v>
      </c>
      <c r="H96" s="140">
        <f>F96*(1+G96)</f>
        <v>8.34</v>
      </c>
      <c r="I96" s="141" t="s">
        <v>15</v>
      </c>
      <c r="J96" s="731">
        <f>J$61</f>
        <v>0</v>
      </c>
      <c r="K96" s="730">
        <f>J96*H96</f>
        <v>0</v>
      </c>
      <c r="L96" s="722"/>
      <c r="M96" s="749"/>
    </row>
    <row r="97" spans="1:13" s="394" customFormat="1" x14ac:dyDescent="0.2">
      <c r="A97" s="714">
        <f>IF(F97&lt;&gt;"",1+MAX($A$1:A96),"")</f>
        <v>60</v>
      </c>
      <c r="B97" s="141" t="s">
        <v>1409</v>
      </c>
      <c r="C97" s="723"/>
      <c r="D97" s="747"/>
      <c r="E97" s="748" t="s">
        <v>1410</v>
      </c>
      <c r="F97" s="139">
        <v>2</v>
      </c>
      <c r="G97" s="127">
        <v>0</v>
      </c>
      <c r="H97" s="140">
        <f t="shared" ref="H97" si="23">F97*(1+G97)</f>
        <v>2</v>
      </c>
      <c r="I97" s="141" t="s">
        <v>20</v>
      </c>
      <c r="J97" s="729">
        <v>0</v>
      </c>
      <c r="K97" s="730">
        <f t="shared" ref="K97" si="24">J97*H97</f>
        <v>0</v>
      </c>
      <c r="L97" s="722"/>
    </row>
    <row r="98" spans="1:13" s="394" customFormat="1" x14ac:dyDescent="0.2">
      <c r="A98" s="714">
        <f>IF(F98&lt;&gt;"",1+MAX($A$1:A97),"")</f>
        <v>61</v>
      </c>
      <c r="B98" s="141" t="s">
        <v>1409</v>
      </c>
      <c r="C98" s="723"/>
      <c r="D98" s="726"/>
      <c r="E98" s="748" t="s">
        <v>1411</v>
      </c>
      <c r="F98" s="139">
        <v>3</v>
      </c>
      <c r="G98" s="127">
        <v>0</v>
      </c>
      <c r="H98" s="140">
        <f>F98*(1+G98)</f>
        <v>3</v>
      </c>
      <c r="I98" s="141" t="s">
        <v>20</v>
      </c>
      <c r="J98" s="729">
        <v>0</v>
      </c>
      <c r="K98" s="730">
        <f>J98*H98</f>
        <v>0</v>
      </c>
      <c r="L98" s="722"/>
      <c r="M98" s="749"/>
    </row>
    <row r="99" spans="1:13" s="394" customFormat="1" x14ac:dyDescent="0.2">
      <c r="A99" s="714">
        <f>IF(F99&lt;&gt;"",1+MAX($A$1:A98),"")</f>
        <v>62</v>
      </c>
      <c r="B99" s="141" t="s">
        <v>1412</v>
      </c>
      <c r="C99" s="723"/>
      <c r="D99" s="726"/>
      <c r="E99" s="748" t="s">
        <v>1413</v>
      </c>
      <c r="F99" s="139">
        <v>164.53</v>
      </c>
      <c r="G99" s="127">
        <v>0</v>
      </c>
      <c r="H99" s="140">
        <f>F99*(1+G99)</f>
        <v>164.53</v>
      </c>
      <c r="I99" s="141" t="s">
        <v>15</v>
      </c>
      <c r="J99" s="729">
        <v>0</v>
      </c>
      <c r="K99" s="730">
        <f>J99*H99</f>
        <v>0</v>
      </c>
      <c r="L99" s="722"/>
      <c r="M99" s="749"/>
    </row>
    <row r="100" spans="1:13" s="394" customFormat="1" x14ac:dyDescent="0.2">
      <c r="A100" s="714">
        <f>IF(F100&lt;&gt;"",1+MAX($A$1:A99),"")</f>
        <v>63</v>
      </c>
      <c r="B100" s="141" t="s">
        <v>1414</v>
      </c>
      <c r="C100" s="723"/>
      <c r="D100" s="726"/>
      <c r="E100" s="748" t="s">
        <v>1415</v>
      </c>
      <c r="F100" s="139">
        <v>468</v>
      </c>
      <c r="G100" s="127">
        <v>0</v>
      </c>
      <c r="H100" s="140">
        <f>F100*(1+G100)</f>
        <v>468</v>
      </c>
      <c r="I100" s="141" t="s">
        <v>18</v>
      </c>
      <c r="J100" s="729">
        <v>0</v>
      </c>
      <c r="K100" s="730">
        <f>J100*H100</f>
        <v>0</v>
      </c>
      <c r="L100" s="722"/>
      <c r="M100" s="749"/>
    </row>
    <row r="101" spans="1:13" s="394" customFormat="1" x14ac:dyDescent="0.2">
      <c r="A101" s="714">
        <f>IF(F101&lt;&gt;"",1+MAX($A$1:A100),"")</f>
        <v>64</v>
      </c>
      <c r="B101" s="141" t="s">
        <v>1414</v>
      </c>
      <c r="C101" s="723"/>
      <c r="D101" s="747"/>
      <c r="E101" s="748" t="s">
        <v>1416</v>
      </c>
      <c r="F101" s="139">
        <v>1</v>
      </c>
      <c r="G101" s="127">
        <v>0</v>
      </c>
      <c r="H101" s="140">
        <f t="shared" ref="H101" si="25">F101*(1+G101)</f>
        <v>1</v>
      </c>
      <c r="I101" s="141" t="s">
        <v>20</v>
      </c>
      <c r="J101" s="729">
        <v>0</v>
      </c>
      <c r="K101" s="730">
        <f t="shared" ref="K101" si="26">J101*H101</f>
        <v>0</v>
      </c>
      <c r="L101" s="722"/>
    </row>
    <row r="102" spans="1:13" s="394" customFormat="1" x14ac:dyDescent="0.2">
      <c r="A102" s="714">
        <f>IF(F102&lt;&gt;"",1+MAX($A$1:A101),"")</f>
        <v>65</v>
      </c>
      <c r="B102" s="141" t="s">
        <v>1414</v>
      </c>
      <c r="C102" s="723"/>
      <c r="D102" s="726"/>
      <c r="E102" s="748" t="s">
        <v>1417</v>
      </c>
      <c r="F102" s="139">
        <v>6794</v>
      </c>
      <c r="G102" s="127">
        <v>0</v>
      </c>
      <c r="H102" s="140">
        <f>F102*(1+G102)</f>
        <v>6794</v>
      </c>
      <c r="I102" s="141" t="s">
        <v>18</v>
      </c>
      <c r="J102" s="729">
        <v>0</v>
      </c>
      <c r="K102" s="730">
        <f>J102*H102</f>
        <v>0</v>
      </c>
      <c r="L102" s="722"/>
      <c r="M102" s="749"/>
    </row>
    <row r="103" spans="1:13" s="394" customFormat="1" x14ac:dyDescent="0.2">
      <c r="A103" s="714">
        <f>IF(F103&lt;&gt;"",1+MAX($A$1:A102),"")</f>
        <v>66</v>
      </c>
      <c r="B103" s="141" t="s">
        <v>1414</v>
      </c>
      <c r="C103" s="723"/>
      <c r="D103" s="726"/>
      <c r="E103" s="748" t="s">
        <v>1418</v>
      </c>
      <c r="F103" s="139">
        <v>258.93</v>
      </c>
      <c r="G103" s="127">
        <v>0</v>
      </c>
      <c r="H103" s="140">
        <f>F103*(1+G103)</f>
        <v>258.93</v>
      </c>
      <c r="I103" s="141" t="s">
        <v>15</v>
      </c>
      <c r="J103" s="729">
        <v>0</v>
      </c>
      <c r="K103" s="730">
        <f>J103*H103</f>
        <v>0</v>
      </c>
      <c r="L103" s="722"/>
      <c r="M103" s="749"/>
    </row>
    <row r="104" spans="1:13" s="394" customFormat="1" x14ac:dyDescent="0.2">
      <c r="A104" s="714">
        <f>IF(F104&lt;&gt;"",1+MAX($A$1:A103),"")</f>
        <v>67</v>
      </c>
      <c r="B104" s="141" t="s">
        <v>1414</v>
      </c>
      <c r="C104" s="723"/>
      <c r="D104" s="726"/>
      <c r="E104" s="748" t="s">
        <v>1419</v>
      </c>
      <c r="F104" s="139">
        <v>2088</v>
      </c>
      <c r="G104" s="127">
        <v>0</v>
      </c>
      <c r="H104" s="140">
        <f>F104*(1+G104)</f>
        <v>2088</v>
      </c>
      <c r="I104" s="141" t="s">
        <v>18</v>
      </c>
      <c r="J104" s="729">
        <v>0</v>
      </c>
      <c r="K104" s="730">
        <f>J104*H104</f>
        <v>0</v>
      </c>
      <c r="L104" s="722"/>
      <c r="M104" s="749"/>
    </row>
    <row r="105" spans="1:13" s="394" customFormat="1" x14ac:dyDescent="0.2">
      <c r="A105" s="714">
        <f>IF(F105&lt;&gt;"",1+MAX($A$1:A104),"")</f>
        <v>68</v>
      </c>
      <c r="B105" s="141" t="s">
        <v>1414</v>
      </c>
      <c r="C105" s="723"/>
      <c r="D105" s="726"/>
      <c r="E105" s="750" t="s">
        <v>1420</v>
      </c>
      <c r="F105" s="728">
        <v>134.66999999999999</v>
      </c>
      <c r="G105" s="127">
        <v>0</v>
      </c>
      <c r="H105" s="140">
        <f>F105*(1+G105)</f>
        <v>134.66999999999999</v>
      </c>
      <c r="I105" s="141" t="s">
        <v>15</v>
      </c>
      <c r="J105" s="729">
        <v>0</v>
      </c>
      <c r="K105" s="730">
        <f>J105*H105</f>
        <v>0</v>
      </c>
      <c r="L105" s="722"/>
      <c r="M105" s="749"/>
    </row>
    <row r="106" spans="1:13" s="394" customFormat="1" x14ac:dyDescent="0.2">
      <c r="A106" s="714">
        <f>IF(F106&lt;&gt;"",1+MAX($A$1:A105),"")</f>
        <v>69</v>
      </c>
      <c r="B106" s="141" t="s">
        <v>1414</v>
      </c>
      <c r="C106" s="723"/>
      <c r="D106" s="726"/>
      <c r="E106" s="750" t="s">
        <v>1421</v>
      </c>
      <c r="F106" s="728">
        <v>1</v>
      </c>
      <c r="G106" s="127">
        <v>0</v>
      </c>
      <c r="H106" s="140">
        <f>F106*(1+G106)</f>
        <v>1</v>
      </c>
      <c r="I106" s="141" t="s">
        <v>27</v>
      </c>
      <c r="J106" s="729">
        <v>0</v>
      </c>
      <c r="K106" s="730">
        <f>J106*H106</f>
        <v>0</v>
      </c>
      <c r="L106" s="722"/>
      <c r="M106" s="749"/>
    </row>
    <row r="107" spans="1:13" s="394" customFormat="1" x14ac:dyDescent="0.2">
      <c r="A107" s="714" t="str">
        <f>IF(F107&lt;&gt;"",1+MAX($A$1:A106),"")</f>
        <v/>
      </c>
      <c r="B107" s="141"/>
      <c r="C107" s="723"/>
      <c r="D107" s="726"/>
      <c r="E107" s="751" t="s">
        <v>1422</v>
      </c>
      <c r="F107" s="139"/>
      <c r="G107" s="127"/>
      <c r="H107" s="140"/>
      <c r="I107" s="141"/>
      <c r="J107" s="141"/>
      <c r="K107" s="730"/>
      <c r="L107" s="722"/>
      <c r="M107" s="749"/>
    </row>
    <row r="108" spans="1:13" s="394" customFormat="1" x14ac:dyDescent="0.2">
      <c r="A108" s="714">
        <f>IF(F108&lt;&gt;"",1+MAX($A$1:A107),"")</f>
        <v>70</v>
      </c>
      <c r="B108" s="141" t="s">
        <v>1414</v>
      </c>
      <c r="C108" s="723"/>
      <c r="D108" s="726"/>
      <c r="E108" s="748" t="s">
        <v>1423</v>
      </c>
      <c r="F108" s="139">
        <v>1</v>
      </c>
      <c r="G108" s="127">
        <v>0</v>
      </c>
      <c r="H108" s="140">
        <f>F108*(1+G108)</f>
        <v>1</v>
      </c>
      <c r="I108" s="141" t="s">
        <v>27</v>
      </c>
      <c r="J108" s="729">
        <v>0</v>
      </c>
      <c r="K108" s="730">
        <f>J108*H108</f>
        <v>0</v>
      </c>
      <c r="L108" s="722"/>
      <c r="M108" s="749"/>
    </row>
    <row r="109" spans="1:13" s="394" customFormat="1" x14ac:dyDescent="0.2">
      <c r="A109" s="714">
        <f>IF(F109&lt;&gt;"",1+MAX($A$1:A108),"")</f>
        <v>71</v>
      </c>
      <c r="B109" s="141" t="s">
        <v>1414</v>
      </c>
      <c r="C109" s="723"/>
      <c r="D109" s="726"/>
      <c r="E109" s="748" t="s">
        <v>1424</v>
      </c>
      <c r="F109" s="139">
        <v>1</v>
      </c>
      <c r="G109" s="127">
        <v>0</v>
      </c>
      <c r="H109" s="140">
        <f>F109*(1+G109)</f>
        <v>1</v>
      </c>
      <c r="I109" s="141" t="s">
        <v>20</v>
      </c>
      <c r="J109" s="731"/>
      <c r="K109" s="730"/>
      <c r="L109" s="722"/>
      <c r="M109" s="749"/>
    </row>
    <row r="110" spans="1:13" s="394" customFormat="1" x14ac:dyDescent="0.2">
      <c r="A110" s="714">
        <f>IF(F110&lt;&gt;"",1+MAX($A$1:A109),"")</f>
        <v>72</v>
      </c>
      <c r="B110" s="141" t="s">
        <v>1425</v>
      </c>
      <c r="C110" s="723"/>
      <c r="D110" s="726"/>
      <c r="E110" s="748" t="s">
        <v>1426</v>
      </c>
      <c r="F110" s="139">
        <v>2</v>
      </c>
      <c r="G110" s="127">
        <v>0</v>
      </c>
      <c r="H110" s="140">
        <f>F110*(1+G110)</f>
        <v>2</v>
      </c>
      <c r="I110" s="141" t="s">
        <v>20</v>
      </c>
      <c r="J110" s="731"/>
      <c r="K110" s="730"/>
      <c r="L110" s="722"/>
      <c r="M110" s="749"/>
    </row>
    <row r="111" spans="1:13" s="394" customFormat="1" x14ac:dyDescent="0.2">
      <c r="A111" s="714">
        <f>IF(F111&lt;&gt;"",1+MAX($A$1:A110),"")</f>
        <v>73</v>
      </c>
      <c r="B111" s="141" t="s">
        <v>1425</v>
      </c>
      <c r="C111" s="723"/>
      <c r="D111" s="726"/>
      <c r="E111" s="750" t="s">
        <v>1427</v>
      </c>
      <c r="F111" s="728">
        <v>5</v>
      </c>
      <c r="G111" s="127">
        <v>0</v>
      </c>
      <c r="H111" s="140">
        <f>F111*(1+G111)</f>
        <v>5</v>
      </c>
      <c r="I111" s="141" t="s">
        <v>20</v>
      </c>
      <c r="J111" s="731"/>
      <c r="K111" s="730"/>
      <c r="L111" s="722"/>
      <c r="M111" s="749"/>
    </row>
    <row r="112" spans="1:13" s="394" customFormat="1" x14ac:dyDescent="0.2">
      <c r="A112" s="714" t="str">
        <f>IF(F112&lt;&gt;"",1+MAX($A$1:A111),"")</f>
        <v/>
      </c>
      <c r="B112" s="141"/>
      <c r="C112" s="723"/>
      <c r="D112" s="726"/>
      <c r="E112" s="751" t="s">
        <v>1428</v>
      </c>
      <c r="F112" s="139"/>
      <c r="G112" s="127"/>
      <c r="H112" s="140"/>
      <c r="I112" s="141"/>
      <c r="J112" s="141"/>
      <c r="K112" s="730"/>
      <c r="L112" s="722"/>
      <c r="M112" s="749"/>
    </row>
    <row r="113" spans="1:14" s="394" customFormat="1" x14ac:dyDescent="0.2">
      <c r="A113" s="714">
        <f>IF(F113&lt;&gt;"",1+MAX($A$1:A112),"")</f>
        <v>74</v>
      </c>
      <c r="B113" s="141" t="s">
        <v>1409</v>
      </c>
      <c r="C113" s="723"/>
      <c r="D113" s="726"/>
      <c r="E113" s="748" t="s">
        <v>1429</v>
      </c>
      <c r="F113" s="139">
        <v>1</v>
      </c>
      <c r="G113" s="127">
        <v>0</v>
      </c>
      <c r="H113" s="140">
        <f>F113*(1+G113)</f>
        <v>1</v>
      </c>
      <c r="I113" s="141" t="s">
        <v>1358</v>
      </c>
      <c r="J113" s="729">
        <v>0</v>
      </c>
      <c r="K113" s="730">
        <f>J113*H113</f>
        <v>0</v>
      </c>
      <c r="L113" s="722"/>
      <c r="M113" s="749"/>
    </row>
    <row r="114" spans="1:14" s="394" customFormat="1" x14ac:dyDescent="0.2">
      <c r="A114" s="714">
        <f>IF(F114&lt;&gt;"",1+MAX($A$1:A113),"")</f>
        <v>75</v>
      </c>
      <c r="B114" s="141" t="s">
        <v>1409</v>
      </c>
      <c r="C114" s="723"/>
      <c r="D114" s="726"/>
      <c r="E114" s="748" t="s">
        <v>1430</v>
      </c>
      <c r="F114" s="139">
        <v>1</v>
      </c>
      <c r="G114" s="127">
        <v>0</v>
      </c>
      <c r="H114" s="140">
        <f>F114*(1+G114)</f>
        <v>1</v>
      </c>
      <c r="I114" s="141" t="s">
        <v>1358</v>
      </c>
      <c r="J114" s="729">
        <v>0</v>
      </c>
      <c r="K114" s="730">
        <f>J114*H114</f>
        <v>0</v>
      </c>
      <c r="L114" s="722"/>
      <c r="M114" s="749"/>
    </row>
    <row r="115" spans="1:14" s="394" customFormat="1" x14ac:dyDescent="0.2">
      <c r="A115" s="714" t="str">
        <f>IF(F115&lt;&gt;"",1+MAX($A$1:A114),"")</f>
        <v/>
      </c>
      <c r="B115" s="141"/>
      <c r="C115" s="723"/>
      <c r="D115" s="726"/>
      <c r="E115" s="751" t="s">
        <v>1431</v>
      </c>
      <c r="F115" s="139"/>
      <c r="G115" s="127"/>
      <c r="H115" s="140"/>
      <c r="I115" s="141"/>
      <c r="J115" s="141"/>
      <c r="K115" s="730"/>
      <c r="L115" s="722"/>
      <c r="M115" s="749"/>
    </row>
    <row r="116" spans="1:14" s="394" customFormat="1" x14ac:dyDescent="0.2">
      <c r="A116" s="714">
        <f>IF(F116&lt;&gt;"",1+MAX($A$1:A115),"")</f>
        <v>76</v>
      </c>
      <c r="B116" s="141" t="s">
        <v>1409</v>
      </c>
      <c r="C116" s="723"/>
      <c r="D116" s="726"/>
      <c r="E116" s="748" t="s">
        <v>1432</v>
      </c>
      <c r="F116" s="139">
        <f>331.72+349.85</f>
        <v>681.57</v>
      </c>
      <c r="G116" s="127">
        <v>0.1</v>
      </c>
      <c r="H116" s="140">
        <f>F116*(1+G116)</f>
        <v>749.72700000000009</v>
      </c>
      <c r="I116" s="141" t="s">
        <v>15</v>
      </c>
      <c r="J116" s="729">
        <v>0</v>
      </c>
      <c r="K116" s="730">
        <f>J116*H116</f>
        <v>0</v>
      </c>
      <c r="L116" s="722"/>
      <c r="M116" s="749"/>
    </row>
    <row r="117" spans="1:14" s="394" customFormat="1" x14ac:dyDescent="0.2">
      <c r="A117" s="714">
        <f>IF(F117&lt;&gt;"",1+MAX($A$1:A116),"")</f>
        <v>77</v>
      </c>
      <c r="B117" s="141" t="s">
        <v>1409</v>
      </c>
      <c r="C117" s="723"/>
      <c r="D117" s="726"/>
      <c r="E117" s="748" t="s">
        <v>1433</v>
      </c>
      <c r="F117" s="139">
        <v>1411</v>
      </c>
      <c r="G117" s="127">
        <v>0.1</v>
      </c>
      <c r="H117" s="140">
        <f>F117*(1+G117)</f>
        <v>1552.1000000000001</v>
      </c>
      <c r="I117" s="141" t="s">
        <v>18</v>
      </c>
      <c r="J117" s="729">
        <v>0</v>
      </c>
      <c r="K117" s="730">
        <f>J117*H117</f>
        <v>0</v>
      </c>
      <c r="L117" s="722"/>
      <c r="M117" s="749"/>
    </row>
    <row r="118" spans="1:14" s="394" customFormat="1" ht="31.5" x14ac:dyDescent="0.2">
      <c r="A118" s="714">
        <f>IF(F118&lt;&gt;"",1+MAX($A$1:A117),"")</f>
        <v>78</v>
      </c>
      <c r="B118" s="141" t="s">
        <v>1409</v>
      </c>
      <c r="C118" s="723"/>
      <c r="D118" s="726"/>
      <c r="E118" s="748" t="s">
        <v>1434</v>
      </c>
      <c r="F118" s="139">
        <f>321.82*1</f>
        <v>321.82</v>
      </c>
      <c r="G118" s="127">
        <v>0.1</v>
      </c>
      <c r="H118" s="140">
        <f>F118*(1+G118)</f>
        <v>354.00200000000001</v>
      </c>
      <c r="I118" s="141" t="s">
        <v>18</v>
      </c>
      <c r="J118" s="729">
        <v>0</v>
      </c>
      <c r="K118" s="730">
        <f>J118*H118</f>
        <v>0</v>
      </c>
      <c r="L118" s="722"/>
      <c r="M118" s="749"/>
    </row>
    <row r="119" spans="1:14" ht="16.5" thickBot="1" x14ac:dyDescent="0.25">
      <c r="A119" s="714" t="str">
        <f>IF(F119&lt;&gt;"",1+MAX($A$1:A118),"")</f>
        <v/>
      </c>
      <c r="B119" s="141"/>
      <c r="C119" s="723"/>
      <c r="D119" s="368"/>
      <c r="E119" s="813"/>
      <c r="F119" s="573"/>
      <c r="G119" s="574"/>
      <c r="H119" s="573"/>
      <c r="I119" s="575"/>
      <c r="J119" s="741"/>
      <c r="K119" s="577"/>
      <c r="L119" s="578"/>
    </row>
    <row r="120" spans="1:14" ht="16.5" thickBot="1" x14ac:dyDescent="0.25">
      <c r="A120" s="714" t="str">
        <f>IF(F120&lt;&gt;"",1+MAX($A$1:A119),"")</f>
        <v/>
      </c>
      <c r="B120" s="726"/>
      <c r="C120" s="726"/>
      <c r="D120" s="370"/>
      <c r="E120" s="742" t="s">
        <v>1435</v>
      </c>
      <c r="F120" s="738"/>
      <c r="G120" s="743"/>
      <c r="H120" s="128"/>
      <c r="I120" s="129"/>
      <c r="J120" s="744"/>
      <c r="K120" s="69"/>
      <c r="L120" s="49">
        <f>SUM(K59:K119)</f>
        <v>0</v>
      </c>
      <c r="M120" s="745"/>
    </row>
    <row r="121" spans="1:14" s="394" customFormat="1" ht="16.5" thickBot="1" x14ac:dyDescent="0.25">
      <c r="A121" s="714" t="str">
        <f>IF(F121&lt;&gt;"",1+MAX($A$1:A120),"")</f>
        <v/>
      </c>
      <c r="B121" s="141"/>
      <c r="C121" s="723"/>
      <c r="D121" s="726"/>
      <c r="E121" s="750"/>
      <c r="F121" s="638"/>
      <c r="G121" s="436"/>
      <c r="H121" s="140"/>
      <c r="I121" s="141"/>
      <c r="J121" s="731"/>
      <c r="K121" s="730"/>
      <c r="L121" s="722"/>
      <c r="M121" s="706"/>
    </row>
    <row r="122" spans="1:14" ht="16.5" thickBot="1" x14ac:dyDescent="0.25">
      <c r="A122" s="714" t="str">
        <f>IF(F122&lt;&gt;"",1+MAX($A$1:A121),"")</f>
        <v/>
      </c>
      <c r="B122" s="141"/>
      <c r="C122" s="123"/>
      <c r="D122" s="752"/>
      <c r="E122" s="561" t="s">
        <v>1436</v>
      </c>
      <c r="F122" s="537"/>
      <c r="G122" s="718"/>
      <c r="H122" s="719"/>
      <c r="I122" s="720"/>
      <c r="J122" s="721"/>
      <c r="K122" s="811"/>
      <c r="L122" s="722"/>
    </row>
    <row r="123" spans="1:14" x14ac:dyDescent="0.2">
      <c r="A123" s="714">
        <f>IF(F123&lt;&gt;"",1+MAX($A$1:A122),"")</f>
        <v>79</v>
      </c>
      <c r="B123" s="141" t="s">
        <v>1437</v>
      </c>
      <c r="C123" s="141" t="s">
        <v>1437</v>
      </c>
      <c r="D123" s="752"/>
      <c r="E123" s="753" t="s">
        <v>1438</v>
      </c>
      <c r="F123" s="126">
        <v>7303</v>
      </c>
      <c r="G123" s="127">
        <v>0.1</v>
      </c>
      <c r="H123" s="128">
        <f t="shared" ref="H123" si="27">F123*(1+G123)</f>
        <v>8033.3000000000011</v>
      </c>
      <c r="I123" s="129" t="s">
        <v>18</v>
      </c>
      <c r="J123" s="729">
        <v>0</v>
      </c>
      <c r="K123" s="734">
        <f t="shared" ref="K123" si="28">J123*H123</f>
        <v>0</v>
      </c>
      <c r="L123" s="722"/>
      <c r="M123" s="745"/>
    </row>
    <row r="124" spans="1:14" x14ac:dyDescent="0.2">
      <c r="A124" s="714">
        <f>IF(F124&lt;&gt;"",1+MAX($A$1:A123),"")</f>
        <v>80</v>
      </c>
      <c r="B124" s="141" t="s">
        <v>1437</v>
      </c>
      <c r="C124" s="141" t="s">
        <v>1437</v>
      </c>
      <c r="D124" s="726"/>
      <c r="E124" s="753" t="s">
        <v>1439</v>
      </c>
      <c r="F124" s="126">
        <f>F123*0.75/27</f>
        <v>202.86111111111111</v>
      </c>
      <c r="G124" s="127">
        <v>0.1</v>
      </c>
      <c r="H124" s="128">
        <f>F124*(1+G124)</f>
        <v>223.14722222222224</v>
      </c>
      <c r="I124" s="129" t="s">
        <v>1028</v>
      </c>
      <c r="J124" s="729">
        <v>0</v>
      </c>
      <c r="K124" s="734">
        <f>J124*H124</f>
        <v>0</v>
      </c>
      <c r="L124" s="722"/>
      <c r="M124" s="745"/>
      <c r="N124" s="712"/>
    </row>
    <row r="125" spans="1:14" x14ac:dyDescent="0.2">
      <c r="A125" s="714">
        <f>IF(F125&lt;&gt;"",1+MAX($A$1:A124),"")</f>
        <v>81</v>
      </c>
      <c r="B125" s="141" t="s">
        <v>1437</v>
      </c>
      <c r="C125" s="141" t="s">
        <v>1437</v>
      </c>
      <c r="D125" s="726"/>
      <c r="E125" s="753" t="s">
        <v>1440</v>
      </c>
      <c r="F125" s="126">
        <f>F123</f>
        <v>7303</v>
      </c>
      <c r="G125" s="127">
        <v>0.1</v>
      </c>
      <c r="H125" s="128">
        <f>F125*(1+G125)</f>
        <v>8033.3000000000011</v>
      </c>
      <c r="I125" s="129" t="s">
        <v>18</v>
      </c>
      <c r="J125" s="729">
        <v>0</v>
      </c>
      <c r="K125" s="734">
        <f>J125*H125</f>
        <v>0</v>
      </c>
      <c r="L125" s="722"/>
      <c r="M125" s="745"/>
    </row>
    <row r="126" spans="1:14" ht="16.5" thickBot="1" x14ac:dyDescent="0.25">
      <c r="A126" s="714" t="str">
        <f>IF(F126&lt;&gt;"",1+MAX($A$1:A125),"")</f>
        <v/>
      </c>
      <c r="B126" s="141"/>
      <c r="C126" s="723"/>
      <c r="D126" s="368"/>
      <c r="E126" s="813"/>
      <c r="F126" s="573"/>
      <c r="G126" s="574"/>
      <c r="H126" s="573"/>
      <c r="I126" s="575"/>
      <c r="J126" s="741"/>
      <c r="K126" s="577"/>
      <c r="L126" s="578"/>
    </row>
    <row r="127" spans="1:14" ht="16.5" thickBot="1" x14ac:dyDescent="0.25">
      <c r="A127" s="714" t="str">
        <f>IF(F127&lt;&gt;"",1+MAX($A$1:A126),"")</f>
        <v/>
      </c>
      <c r="B127" s="726"/>
      <c r="C127" s="726"/>
      <c r="D127" s="370"/>
      <c r="E127" s="742" t="s">
        <v>1441</v>
      </c>
      <c r="F127" s="738"/>
      <c r="G127" s="743"/>
      <c r="H127" s="128"/>
      <c r="I127" s="129"/>
      <c r="J127" s="744"/>
      <c r="K127" s="69"/>
      <c r="L127" s="49">
        <f>SUM(K122:K126)</f>
        <v>0</v>
      </c>
      <c r="M127" s="745"/>
    </row>
    <row r="128" spans="1:14" s="394" customFormat="1" ht="16.5" thickBot="1" x14ac:dyDescent="0.25">
      <c r="A128" s="714" t="str">
        <f>IF(F128&lt;&gt;"",1+MAX($A$1:A127),"")</f>
        <v/>
      </c>
      <c r="B128" s="141"/>
      <c r="C128" s="723"/>
      <c r="D128" s="726"/>
      <c r="E128" s="750"/>
      <c r="F128" s="728"/>
      <c r="G128" s="436"/>
      <c r="H128" s="140"/>
      <c r="I128" s="141"/>
      <c r="J128" s="731"/>
      <c r="K128" s="730"/>
      <c r="L128" s="722"/>
      <c r="M128" s="706"/>
    </row>
    <row r="129" spans="1:13" ht="16.5" thickBot="1" x14ac:dyDescent="0.25">
      <c r="A129" s="714" t="str">
        <f>IF(F129&lt;&gt;"",1+MAX($A$1:A128),"")</f>
        <v/>
      </c>
      <c r="B129" s="141"/>
      <c r="C129" s="123"/>
      <c r="D129" s="370"/>
      <c r="E129" s="561" t="s">
        <v>1442</v>
      </c>
      <c r="F129" s="537"/>
      <c r="G129" s="718"/>
      <c r="H129" s="719"/>
      <c r="I129" s="720"/>
      <c r="J129" s="721"/>
      <c r="K129" s="811"/>
      <c r="L129" s="722"/>
    </row>
    <row r="130" spans="1:13" x14ac:dyDescent="0.2">
      <c r="A130" s="714">
        <f>IF(F130&lt;&gt;"",1+MAX($A$1:A129),"")</f>
        <v>82</v>
      </c>
      <c r="B130" s="141" t="s">
        <v>1443</v>
      </c>
      <c r="C130" s="754" t="s">
        <v>437</v>
      </c>
      <c r="D130" s="747">
        <f>H130*0.5/27</f>
        <v>5.5611111111111109</v>
      </c>
      <c r="E130" s="753" t="s">
        <v>1444</v>
      </c>
      <c r="F130" s="126">
        <v>273</v>
      </c>
      <c r="G130" s="127">
        <v>0.1</v>
      </c>
      <c r="H130" s="128">
        <f t="shared" ref="H130" si="29">F130*(1+G130)</f>
        <v>300.3</v>
      </c>
      <c r="I130" s="129" t="s">
        <v>18</v>
      </c>
      <c r="J130" s="729">
        <v>0</v>
      </c>
      <c r="K130" s="734">
        <f t="shared" ref="K130" si="30">J130*H130</f>
        <v>0</v>
      </c>
      <c r="L130" s="722"/>
      <c r="M130" s="745"/>
    </row>
    <row r="131" spans="1:13" x14ac:dyDescent="0.2">
      <c r="A131" s="714">
        <f>IF(F131&lt;&gt;"",1+MAX($A$1:A130),"")</f>
        <v>83</v>
      </c>
      <c r="B131" s="141" t="s">
        <v>1443</v>
      </c>
      <c r="C131" s="754" t="s">
        <v>437</v>
      </c>
      <c r="D131" s="726"/>
      <c r="E131" s="753" t="s">
        <v>1161</v>
      </c>
      <c r="F131" s="126">
        <f>F130*0.334/27</f>
        <v>3.3771111111111112</v>
      </c>
      <c r="G131" s="127">
        <v>0.1</v>
      </c>
      <c r="H131" s="128">
        <f>F131*(1+G131)</f>
        <v>3.7148222222222227</v>
      </c>
      <c r="I131" s="129" t="s">
        <v>1028</v>
      </c>
      <c r="J131" s="740">
        <f>J$124</f>
        <v>0</v>
      </c>
      <c r="K131" s="734">
        <f>J131*H131</f>
        <v>0</v>
      </c>
      <c r="L131" s="722"/>
      <c r="M131" s="745"/>
    </row>
    <row r="132" spans="1:13" x14ac:dyDescent="0.2">
      <c r="A132" s="714">
        <f>IF(F132&lt;&gt;"",1+MAX($A$1:A131),"")</f>
        <v>84</v>
      </c>
      <c r="B132" s="141" t="s">
        <v>1443</v>
      </c>
      <c r="C132" s="754" t="s">
        <v>437</v>
      </c>
      <c r="D132" s="367"/>
      <c r="E132" s="753" t="s">
        <v>1445</v>
      </c>
      <c r="F132" s="126">
        <f>273*0.6016</f>
        <v>164.23680000000002</v>
      </c>
      <c r="G132" s="127">
        <v>0.1</v>
      </c>
      <c r="H132" s="128">
        <f>F132*(1+G132)</f>
        <v>180.66048000000004</v>
      </c>
      <c r="I132" s="129" t="s">
        <v>427</v>
      </c>
      <c r="J132" s="729">
        <v>0</v>
      </c>
      <c r="K132" s="734">
        <f>J132*H132</f>
        <v>0</v>
      </c>
      <c r="L132" s="722"/>
      <c r="M132" s="745"/>
    </row>
    <row r="133" spans="1:13" x14ac:dyDescent="0.2">
      <c r="A133" s="714">
        <f>IF(F133&lt;&gt;"",1+MAX($A$1:A132),"")</f>
        <v>85</v>
      </c>
      <c r="B133" s="141" t="s">
        <v>1443</v>
      </c>
      <c r="C133" s="754" t="s">
        <v>437</v>
      </c>
      <c r="D133" s="367"/>
      <c r="E133" s="753" t="s">
        <v>1446</v>
      </c>
      <c r="F133" s="126">
        <f>F130*0.14</f>
        <v>38.220000000000006</v>
      </c>
      <c r="G133" s="127">
        <v>0.1</v>
      </c>
      <c r="H133" s="128">
        <f>F133*(1+G133)</f>
        <v>42.042000000000009</v>
      </c>
      <c r="I133" s="129" t="s">
        <v>15</v>
      </c>
      <c r="J133" s="729">
        <v>0</v>
      </c>
      <c r="K133" s="734">
        <f>J133*H133</f>
        <v>0</v>
      </c>
      <c r="L133" s="722"/>
      <c r="M133" s="745"/>
    </row>
    <row r="134" spans="1:13" x14ac:dyDescent="0.2">
      <c r="A134" s="714">
        <f>IF(F134&lt;&gt;"",1+MAX($A$1:A133),"")</f>
        <v>86</v>
      </c>
      <c r="B134" s="141" t="s">
        <v>1443</v>
      </c>
      <c r="C134" s="754" t="s">
        <v>437</v>
      </c>
      <c r="D134" s="726"/>
      <c r="E134" s="753" t="s">
        <v>1159</v>
      </c>
      <c r="F134" s="126">
        <f>F130*0.08</f>
        <v>21.84</v>
      </c>
      <c r="G134" s="127">
        <v>0.1</v>
      </c>
      <c r="H134" s="128">
        <f t="shared" ref="H134" si="31">F134*(1+G134)</f>
        <v>24.024000000000001</v>
      </c>
      <c r="I134" s="129" t="s">
        <v>15</v>
      </c>
      <c r="J134" s="729">
        <v>0</v>
      </c>
      <c r="K134" s="734">
        <f t="shared" ref="K134" si="32">J134*H134</f>
        <v>0</v>
      </c>
      <c r="L134" s="722"/>
      <c r="M134" s="745"/>
    </row>
    <row r="135" spans="1:13" x14ac:dyDescent="0.2">
      <c r="A135" s="714">
        <f>IF(F135&lt;&gt;"",1+MAX($A$1:A134),"")</f>
        <v>87</v>
      </c>
      <c r="B135" s="141" t="s">
        <v>1443</v>
      </c>
      <c r="C135" s="754" t="s">
        <v>437</v>
      </c>
      <c r="D135" s="726"/>
      <c r="E135" s="753" t="s">
        <v>1447</v>
      </c>
      <c r="F135" s="126">
        <v>95.2</v>
      </c>
      <c r="G135" s="127">
        <v>0.1</v>
      </c>
      <c r="H135" s="128">
        <f>F135*(1+G135)</f>
        <v>104.72000000000001</v>
      </c>
      <c r="I135" s="129" t="s">
        <v>15</v>
      </c>
      <c r="J135" s="729">
        <v>0</v>
      </c>
      <c r="K135" s="734">
        <f>J135*H135</f>
        <v>0</v>
      </c>
      <c r="L135" s="722"/>
      <c r="M135" s="745"/>
    </row>
    <row r="136" spans="1:13" s="394" customFormat="1" x14ac:dyDescent="0.2">
      <c r="A136" s="714" t="str">
        <f>IF(F136&lt;&gt;"",1+MAX($A$1:A135),"")</f>
        <v/>
      </c>
      <c r="B136" s="141"/>
      <c r="C136" s="723"/>
      <c r="D136" s="726"/>
      <c r="E136" s="755" t="s">
        <v>1448</v>
      </c>
      <c r="F136" s="728"/>
      <c r="G136" s="436"/>
      <c r="H136" s="140"/>
      <c r="I136" s="141"/>
      <c r="J136" s="731"/>
      <c r="K136" s="730"/>
      <c r="L136" s="722"/>
      <c r="M136" s="706"/>
    </row>
    <row r="137" spans="1:13" ht="16.5" thickBot="1" x14ac:dyDescent="0.25">
      <c r="A137" s="714" t="str">
        <f>IF(F137&lt;&gt;"",1+MAX($A$1:A136),"")</f>
        <v/>
      </c>
      <c r="B137" s="141"/>
      <c r="C137" s="723"/>
      <c r="D137" s="368"/>
      <c r="E137" s="813"/>
      <c r="F137" s="573"/>
      <c r="G137" s="574"/>
      <c r="H137" s="573"/>
      <c r="I137" s="575"/>
      <c r="J137" s="741"/>
      <c r="K137" s="577"/>
      <c r="L137" s="578"/>
    </row>
    <row r="138" spans="1:13" ht="16.5" thickBot="1" x14ac:dyDescent="0.25">
      <c r="A138" s="714" t="str">
        <f>IF(F138&lt;&gt;"",1+MAX($A$1:A137),"")</f>
        <v/>
      </c>
      <c r="B138" s="726"/>
      <c r="C138" s="726"/>
      <c r="D138" s="370"/>
      <c r="E138" s="742" t="s">
        <v>1449</v>
      </c>
      <c r="F138" s="738"/>
      <c r="G138" s="743"/>
      <c r="H138" s="128"/>
      <c r="I138" s="129"/>
      <c r="J138" s="744"/>
      <c r="K138" s="69"/>
      <c r="L138" s="49">
        <f>SUM(K129:K137)</f>
        <v>0</v>
      </c>
      <c r="M138" s="745"/>
    </row>
    <row r="139" spans="1:13" s="394" customFormat="1" ht="16.5" thickBot="1" x14ac:dyDescent="0.25">
      <c r="A139" s="714" t="str">
        <f>IF(F139&lt;&gt;"",1+MAX($A$1:A138),"")</f>
        <v/>
      </c>
      <c r="B139" s="141"/>
      <c r="C139" s="723"/>
      <c r="D139" s="726"/>
      <c r="E139" s="750"/>
      <c r="F139" s="728"/>
      <c r="G139" s="436"/>
      <c r="H139" s="140"/>
      <c r="I139" s="141"/>
      <c r="J139" s="731"/>
      <c r="K139" s="730"/>
      <c r="L139" s="722"/>
      <c r="M139" s="706"/>
    </row>
    <row r="140" spans="1:13" ht="16.5" thickBot="1" x14ac:dyDescent="0.25">
      <c r="A140" s="714" t="str">
        <f>IF(F140&lt;&gt;"",1+MAX($A$1:A139),"")</f>
        <v/>
      </c>
      <c r="B140" s="141"/>
      <c r="C140" s="123"/>
      <c r="D140" s="370"/>
      <c r="E140" s="561" t="s">
        <v>1450</v>
      </c>
      <c r="F140" s="537"/>
      <c r="G140" s="718"/>
      <c r="H140" s="719"/>
      <c r="I140" s="720"/>
      <c r="J140" s="721"/>
      <c r="K140" s="811"/>
      <c r="L140" s="722"/>
    </row>
    <row r="141" spans="1:13" x14ac:dyDescent="0.2">
      <c r="A141" s="714">
        <f>IF(F141&lt;&gt;"",1+MAX($A$1:A140),"")</f>
        <v>88</v>
      </c>
      <c r="B141" s="141" t="s">
        <v>1443</v>
      </c>
      <c r="C141" s="141" t="s">
        <v>1451</v>
      </c>
      <c r="D141" s="747"/>
      <c r="E141" s="753" t="s">
        <v>1452</v>
      </c>
      <c r="F141" s="126">
        <v>2635</v>
      </c>
      <c r="G141" s="127">
        <v>0.1</v>
      </c>
      <c r="H141" s="128">
        <f t="shared" ref="H141:H142" si="33">F141*(1+G141)</f>
        <v>2898.5000000000005</v>
      </c>
      <c r="I141" s="129" t="s">
        <v>18</v>
      </c>
      <c r="J141" s="729">
        <v>0</v>
      </c>
      <c r="K141" s="734">
        <f t="shared" ref="K141:K142" si="34">J141*H141</f>
        <v>0</v>
      </c>
      <c r="L141" s="722"/>
      <c r="M141" s="745"/>
    </row>
    <row r="142" spans="1:13" x14ac:dyDescent="0.2">
      <c r="A142" s="714">
        <f>IF(F142&lt;&gt;"",1+MAX($A$1:A141),"")</f>
        <v>89</v>
      </c>
      <c r="B142" s="141" t="s">
        <v>1443</v>
      </c>
      <c r="C142" s="754" t="s">
        <v>437</v>
      </c>
      <c r="D142" s="747">
        <f>H142*0.334/27</f>
        <v>35.855518518518522</v>
      </c>
      <c r="E142" s="753" t="s">
        <v>1453</v>
      </c>
      <c r="F142" s="126">
        <f>F141</f>
        <v>2635</v>
      </c>
      <c r="G142" s="127">
        <v>0.1</v>
      </c>
      <c r="H142" s="128">
        <f t="shared" si="33"/>
        <v>2898.5000000000005</v>
      </c>
      <c r="I142" s="129" t="s">
        <v>18</v>
      </c>
      <c r="J142" s="729">
        <v>0</v>
      </c>
      <c r="K142" s="734">
        <f t="shared" si="34"/>
        <v>0</v>
      </c>
      <c r="L142" s="722"/>
      <c r="M142" s="745"/>
    </row>
    <row r="143" spans="1:13" x14ac:dyDescent="0.2">
      <c r="A143" s="714">
        <f>IF(F143&lt;&gt;"",1+MAX($A$1:A142),"")</f>
        <v>90</v>
      </c>
      <c r="B143" s="141" t="s">
        <v>1443</v>
      </c>
      <c r="C143" s="754" t="s">
        <v>437</v>
      </c>
      <c r="D143" s="367"/>
      <c r="E143" s="753" t="s">
        <v>1445</v>
      </c>
      <c r="F143" s="126">
        <f>2635*0.6016</f>
        <v>1585.2160000000001</v>
      </c>
      <c r="G143" s="127">
        <v>0.1</v>
      </c>
      <c r="H143" s="128">
        <f>F143*(1+G143)</f>
        <v>1743.7376000000004</v>
      </c>
      <c r="I143" s="129" t="s">
        <v>427</v>
      </c>
      <c r="J143" s="740">
        <f>J$132</f>
        <v>0</v>
      </c>
      <c r="K143" s="734">
        <f>J143*H143</f>
        <v>0</v>
      </c>
      <c r="L143" s="722"/>
      <c r="M143" s="745"/>
    </row>
    <row r="144" spans="1:13" x14ac:dyDescent="0.2">
      <c r="A144" s="714">
        <f>IF(F144&lt;&gt;"",1+MAX($A$1:A143),"")</f>
        <v>91</v>
      </c>
      <c r="B144" s="141" t="s">
        <v>1443</v>
      </c>
      <c r="C144" s="754" t="s">
        <v>437</v>
      </c>
      <c r="D144" s="367"/>
      <c r="E144" s="753" t="s">
        <v>1446</v>
      </c>
      <c r="F144" s="126">
        <f>F142*0.14</f>
        <v>368.90000000000003</v>
      </c>
      <c r="G144" s="127">
        <v>0.1</v>
      </c>
      <c r="H144" s="128">
        <f>F144*(1+G144)</f>
        <v>405.79000000000008</v>
      </c>
      <c r="I144" s="129" t="s">
        <v>15</v>
      </c>
      <c r="J144" s="740">
        <f>J$133</f>
        <v>0</v>
      </c>
      <c r="K144" s="734">
        <f>J144*H144</f>
        <v>0</v>
      </c>
      <c r="L144" s="722"/>
      <c r="M144" s="745"/>
    </row>
    <row r="145" spans="1:13" x14ac:dyDescent="0.2">
      <c r="A145" s="714">
        <f>IF(F145&lt;&gt;"",1+MAX($A$1:A144),"")</f>
        <v>92</v>
      </c>
      <c r="B145" s="141" t="s">
        <v>1443</v>
      </c>
      <c r="C145" s="754" t="s">
        <v>437</v>
      </c>
      <c r="D145" s="726"/>
      <c r="E145" s="753" t="s">
        <v>1159</v>
      </c>
      <c r="F145" s="126">
        <f>F142*0.08</f>
        <v>210.8</v>
      </c>
      <c r="G145" s="127">
        <v>0.1</v>
      </c>
      <c r="H145" s="128">
        <f t="shared" ref="H145" si="35">F145*(1+G145)</f>
        <v>231.88000000000002</v>
      </c>
      <c r="I145" s="129" t="s">
        <v>15</v>
      </c>
      <c r="J145" s="740">
        <f>J$134</f>
        <v>0</v>
      </c>
      <c r="K145" s="734">
        <f t="shared" ref="K145" si="36">J145*H145</f>
        <v>0</v>
      </c>
      <c r="L145" s="722"/>
      <c r="M145" s="745"/>
    </row>
    <row r="146" spans="1:13" x14ac:dyDescent="0.2">
      <c r="A146" s="714">
        <f>IF(F146&lt;&gt;"",1+MAX($A$1:A145),"")</f>
        <v>93</v>
      </c>
      <c r="B146" s="141" t="s">
        <v>1443</v>
      </c>
      <c r="C146" s="754" t="s">
        <v>437</v>
      </c>
      <c r="D146" s="726"/>
      <c r="E146" s="753" t="s">
        <v>1157</v>
      </c>
      <c r="F146" s="126">
        <v>1191.8900000000001</v>
      </c>
      <c r="G146" s="127">
        <v>0.1</v>
      </c>
      <c r="H146" s="128">
        <f>F146*(1+G146)</f>
        <v>1311.0790000000002</v>
      </c>
      <c r="I146" s="129" t="s">
        <v>15</v>
      </c>
      <c r="J146" s="729">
        <v>0</v>
      </c>
      <c r="K146" s="734">
        <f>J146*H146</f>
        <v>0</v>
      </c>
      <c r="L146" s="722"/>
      <c r="M146" s="745"/>
    </row>
    <row r="147" spans="1:13" s="394" customFormat="1" x14ac:dyDescent="0.2">
      <c r="A147" s="714" t="str">
        <f>IF(F147&lt;&gt;"",1+MAX($A$1:A146),"")</f>
        <v/>
      </c>
      <c r="B147" s="141"/>
      <c r="C147" s="141"/>
      <c r="D147" s="726"/>
      <c r="E147" s="756" t="s">
        <v>1454</v>
      </c>
      <c r="F147" s="728"/>
      <c r="G147" s="436"/>
      <c r="H147" s="140"/>
      <c r="I147" s="141"/>
      <c r="J147" s="731"/>
      <c r="K147" s="730"/>
      <c r="L147" s="722"/>
      <c r="M147" s="706"/>
    </row>
    <row r="148" spans="1:13" ht="16.5" thickBot="1" x14ac:dyDescent="0.25">
      <c r="A148" s="714" t="str">
        <f>IF(F148&lt;&gt;"",1+MAX($A$1:A147),"")</f>
        <v/>
      </c>
      <c r="B148" s="141"/>
      <c r="C148" s="723"/>
      <c r="D148" s="368"/>
      <c r="E148" s="813"/>
      <c r="F148" s="573"/>
      <c r="G148" s="574"/>
      <c r="H148" s="573"/>
      <c r="I148" s="575"/>
      <c r="J148" s="741"/>
      <c r="K148" s="577"/>
      <c r="L148" s="578"/>
    </row>
    <row r="149" spans="1:13" ht="16.5" thickBot="1" x14ac:dyDescent="0.25">
      <c r="A149" s="714" t="str">
        <f>IF(F149&lt;&gt;"",1+MAX($A$1:A148),"")</f>
        <v/>
      </c>
      <c r="B149" s="726"/>
      <c r="C149" s="726"/>
      <c r="D149" s="370"/>
      <c r="E149" s="742" t="s">
        <v>1455</v>
      </c>
      <c r="F149" s="738"/>
      <c r="G149" s="743"/>
      <c r="H149" s="128"/>
      <c r="I149" s="129"/>
      <c r="J149" s="744"/>
      <c r="K149" s="69"/>
      <c r="L149" s="49">
        <f>SUM(K140:K148)</f>
        <v>0</v>
      </c>
      <c r="M149" s="745"/>
    </row>
    <row r="150" spans="1:13" s="394" customFormat="1" ht="16.5" thickBot="1" x14ac:dyDescent="0.25">
      <c r="A150" s="714" t="str">
        <f>IF(F150&lt;&gt;"",1+MAX($A$1:A149),"")</f>
        <v/>
      </c>
      <c r="B150" s="141"/>
      <c r="C150" s="723"/>
      <c r="D150" s="726"/>
      <c r="E150" s="750"/>
      <c r="F150" s="728"/>
      <c r="G150" s="436"/>
      <c r="H150" s="140"/>
      <c r="I150" s="141"/>
      <c r="J150" s="731"/>
      <c r="K150" s="730"/>
      <c r="L150" s="722"/>
      <c r="M150" s="706"/>
    </row>
    <row r="151" spans="1:13" ht="16.5" thickBot="1" x14ac:dyDescent="0.25">
      <c r="A151" s="714" t="str">
        <f>IF(F151&lt;&gt;"",1+MAX($A$1:A150),"")</f>
        <v/>
      </c>
      <c r="B151" s="141"/>
      <c r="C151" s="123"/>
      <c r="D151" s="370"/>
      <c r="E151" s="561" t="s">
        <v>1456</v>
      </c>
      <c r="F151" s="537"/>
      <c r="G151" s="718"/>
      <c r="H151" s="719"/>
      <c r="I151" s="720"/>
      <c r="J151" s="721"/>
      <c r="K151" s="811"/>
      <c r="L151" s="722"/>
    </row>
    <row r="152" spans="1:13" x14ac:dyDescent="0.2">
      <c r="A152" s="714">
        <f>IF(F152&lt;&gt;"",1+MAX($A$1:A151),"")</f>
        <v>94</v>
      </c>
      <c r="B152" s="141" t="s">
        <v>1414</v>
      </c>
      <c r="C152" s="141" t="s">
        <v>1457</v>
      </c>
      <c r="D152" s="747">
        <f>H152*0.334/27</f>
        <v>18.016207407407407</v>
      </c>
      <c r="E152" s="753" t="s">
        <v>1458</v>
      </c>
      <c r="F152" s="126">
        <v>1324</v>
      </c>
      <c r="G152" s="127">
        <v>0.1</v>
      </c>
      <c r="H152" s="128">
        <f t="shared" ref="H152" si="37">F152*(1+G152)</f>
        <v>1456.4</v>
      </c>
      <c r="I152" s="129" t="s">
        <v>18</v>
      </c>
      <c r="J152" s="729">
        <v>0</v>
      </c>
      <c r="K152" s="734">
        <f t="shared" ref="K152" si="38">J152*H152</f>
        <v>0</v>
      </c>
      <c r="L152" s="722"/>
      <c r="M152" s="745"/>
    </row>
    <row r="153" spans="1:13" x14ac:dyDescent="0.2">
      <c r="A153" s="714">
        <f>IF(F153&lt;&gt;"",1+MAX($A$1:A152),"")</f>
        <v>95</v>
      </c>
      <c r="B153" s="141" t="s">
        <v>1443</v>
      </c>
      <c r="C153" s="141" t="s">
        <v>1457</v>
      </c>
      <c r="D153" s="367"/>
      <c r="E153" s="753" t="s">
        <v>1445</v>
      </c>
      <c r="F153" s="126">
        <f>1324*0.6016</f>
        <v>796.51840000000004</v>
      </c>
      <c r="G153" s="127">
        <v>0.1</v>
      </c>
      <c r="H153" s="128">
        <f>F153*(1+G153)</f>
        <v>876.17024000000015</v>
      </c>
      <c r="I153" s="129" t="s">
        <v>427</v>
      </c>
      <c r="J153" s="740">
        <f>J$132</f>
        <v>0</v>
      </c>
      <c r="K153" s="734">
        <f>J153*H153</f>
        <v>0</v>
      </c>
      <c r="L153" s="722"/>
      <c r="M153" s="745"/>
    </row>
    <row r="154" spans="1:13" x14ac:dyDescent="0.2">
      <c r="A154" s="714">
        <f>IF(F154&lt;&gt;"",1+MAX($A$1:A153),"")</f>
        <v>96</v>
      </c>
      <c r="B154" s="141" t="s">
        <v>1414</v>
      </c>
      <c r="C154" s="141" t="s">
        <v>1457</v>
      </c>
      <c r="D154" s="367"/>
      <c r="E154" s="753" t="s">
        <v>1446</v>
      </c>
      <c r="F154" s="126">
        <f>F152*0.14</f>
        <v>185.36</v>
      </c>
      <c r="G154" s="127">
        <v>0.1</v>
      </c>
      <c r="H154" s="128">
        <f>F154*(1+G154)</f>
        <v>203.89600000000004</v>
      </c>
      <c r="I154" s="129" t="s">
        <v>15</v>
      </c>
      <c r="J154" s="740">
        <f>J$133</f>
        <v>0</v>
      </c>
      <c r="K154" s="734">
        <f>J154*H154</f>
        <v>0</v>
      </c>
      <c r="L154" s="722"/>
      <c r="M154" s="745"/>
    </row>
    <row r="155" spans="1:13" x14ac:dyDescent="0.2">
      <c r="A155" s="714">
        <f>IF(F155&lt;&gt;"",1+MAX($A$1:A154),"")</f>
        <v>97</v>
      </c>
      <c r="B155" s="141" t="s">
        <v>1414</v>
      </c>
      <c r="C155" s="141" t="s">
        <v>1457</v>
      </c>
      <c r="D155" s="726"/>
      <c r="E155" s="753" t="s">
        <v>1159</v>
      </c>
      <c r="F155" s="126">
        <f>F152*0.08</f>
        <v>105.92</v>
      </c>
      <c r="G155" s="127">
        <v>0.1</v>
      </c>
      <c r="H155" s="128">
        <f t="shared" ref="H155" si="39">F155*(1+G155)</f>
        <v>116.51200000000001</v>
      </c>
      <c r="I155" s="129" t="s">
        <v>15</v>
      </c>
      <c r="J155" s="740">
        <f>J$134</f>
        <v>0</v>
      </c>
      <c r="K155" s="734">
        <f t="shared" ref="K155" si="40">J155*H155</f>
        <v>0</v>
      </c>
      <c r="L155" s="722"/>
      <c r="M155" s="745"/>
    </row>
    <row r="156" spans="1:13" x14ac:dyDescent="0.2">
      <c r="A156" s="714">
        <f>IF(F156&lt;&gt;"",1+MAX($A$1:A155),"")</f>
        <v>98</v>
      </c>
      <c r="B156" s="141" t="s">
        <v>1414</v>
      </c>
      <c r="C156" s="141" t="s">
        <v>1457</v>
      </c>
      <c r="D156" s="726"/>
      <c r="E156" s="753" t="s">
        <v>1157</v>
      </c>
      <c r="F156" s="126">
        <v>545.28</v>
      </c>
      <c r="G156" s="127">
        <v>0.1</v>
      </c>
      <c r="H156" s="128">
        <f>F156*(1+G156)</f>
        <v>599.80799999999999</v>
      </c>
      <c r="I156" s="129" t="s">
        <v>15</v>
      </c>
      <c r="J156" s="740">
        <f>J$146</f>
        <v>0</v>
      </c>
      <c r="K156" s="734">
        <f>J156*H156</f>
        <v>0</v>
      </c>
      <c r="L156" s="722"/>
      <c r="M156" s="745"/>
    </row>
    <row r="157" spans="1:13" ht="16.5" thickBot="1" x14ac:dyDescent="0.25">
      <c r="A157" s="714" t="str">
        <f>IF(F157&lt;&gt;"",1+MAX($A$1:A156),"")</f>
        <v/>
      </c>
      <c r="B157" s="141"/>
      <c r="C157" s="723"/>
      <c r="D157" s="368"/>
      <c r="E157" s="813"/>
      <c r="F157" s="573"/>
      <c r="G157" s="574"/>
      <c r="H157" s="573"/>
      <c r="I157" s="575"/>
      <c r="J157" s="741"/>
      <c r="K157" s="577"/>
      <c r="L157" s="578"/>
    </row>
    <row r="158" spans="1:13" ht="16.5" thickBot="1" x14ac:dyDescent="0.25">
      <c r="A158" s="714" t="str">
        <f>IF(F158&lt;&gt;"",1+MAX($A$1:A157),"")</f>
        <v/>
      </c>
      <c r="B158" s="726"/>
      <c r="C158" s="726"/>
      <c r="D158" s="370"/>
      <c r="E158" s="742" t="s">
        <v>1459</v>
      </c>
      <c r="F158" s="738"/>
      <c r="G158" s="743"/>
      <c r="H158" s="128"/>
      <c r="I158" s="129"/>
      <c r="J158" s="744"/>
      <c r="K158" s="69"/>
      <c r="L158" s="49">
        <f>SUM(K151:K157)</f>
        <v>0</v>
      </c>
      <c r="M158" s="745"/>
    </row>
    <row r="159" spans="1:13" s="394" customFormat="1" ht="16.5" thickBot="1" x14ac:dyDescent="0.25">
      <c r="A159" s="714" t="str">
        <f>IF(F159&lt;&gt;"",1+MAX($A$1:A158),"")</f>
        <v/>
      </c>
      <c r="B159" s="141"/>
      <c r="C159" s="723"/>
      <c r="D159" s="726"/>
      <c r="E159" s="750"/>
      <c r="F159" s="638"/>
      <c r="G159" s="436"/>
      <c r="H159" s="140"/>
      <c r="I159" s="141"/>
      <c r="J159" s="731"/>
      <c r="K159" s="730"/>
      <c r="L159" s="722"/>
      <c r="M159" s="706"/>
    </row>
    <row r="160" spans="1:13" ht="16.5" thickBot="1" x14ac:dyDescent="0.25">
      <c r="A160" s="714" t="str">
        <f>IF(F160&lt;&gt;"",1+MAX($A$1:A159),"")</f>
        <v/>
      </c>
      <c r="B160" s="141"/>
      <c r="C160" s="123"/>
      <c r="D160" s="370"/>
      <c r="E160" s="561" t="s">
        <v>1460</v>
      </c>
      <c r="F160" s="537"/>
      <c r="G160" s="718"/>
      <c r="H160" s="719"/>
      <c r="I160" s="720"/>
      <c r="J160" s="721"/>
      <c r="K160" s="811"/>
      <c r="L160" s="722"/>
    </row>
    <row r="161" spans="1:13" s="394" customFormat="1" ht="47.25" x14ac:dyDescent="0.2">
      <c r="A161" s="714">
        <f>IF(F161&lt;&gt;"",1+MAX($A$1:A160),"")</f>
        <v>99</v>
      </c>
      <c r="B161" s="141" t="s">
        <v>1361</v>
      </c>
      <c r="C161" s="123" t="s">
        <v>1461</v>
      </c>
      <c r="D161" s="747">
        <f>H161*0.625/27</f>
        <v>3.4629629629629637</v>
      </c>
      <c r="E161" s="753" t="s">
        <v>1462</v>
      </c>
      <c r="F161" s="738">
        <v>136</v>
      </c>
      <c r="G161" s="127">
        <v>0.1</v>
      </c>
      <c r="H161" s="128">
        <f t="shared" ref="H161" si="41">F161*(1+G161)</f>
        <v>149.60000000000002</v>
      </c>
      <c r="I161" s="129" t="s">
        <v>15</v>
      </c>
      <c r="J161" s="729">
        <v>0</v>
      </c>
      <c r="K161" s="734">
        <f>J161*H161</f>
        <v>0</v>
      </c>
      <c r="L161" s="722"/>
      <c r="M161" s="749"/>
    </row>
    <row r="162" spans="1:13" s="394" customFormat="1" x14ac:dyDescent="0.2">
      <c r="A162" s="714" t="str">
        <f>IF(F162&lt;&gt;"",1+MAX($A$1:A161),"")</f>
        <v/>
      </c>
      <c r="B162" s="141"/>
      <c r="C162" s="123"/>
      <c r="D162" s="726"/>
      <c r="E162" s="750"/>
      <c r="F162" s="638"/>
      <c r="G162" s="436"/>
      <c r="H162" s="140"/>
      <c r="I162" s="141"/>
      <c r="J162" s="731"/>
      <c r="K162" s="730"/>
      <c r="L162" s="722"/>
      <c r="M162" s="706"/>
    </row>
    <row r="163" spans="1:13" s="394" customFormat="1" x14ac:dyDescent="0.2">
      <c r="A163" s="714">
        <f>IF(F163&lt;&gt;"",1+MAX($A$1:A162),"")</f>
        <v>100</v>
      </c>
      <c r="B163" s="141" t="s">
        <v>1361</v>
      </c>
      <c r="C163" s="123" t="s">
        <v>1463</v>
      </c>
      <c r="D163" s="747">
        <f>H163*1.5/27</f>
        <v>2.1101666666666667</v>
      </c>
      <c r="E163" s="753" t="s">
        <v>1464</v>
      </c>
      <c r="F163" s="738">
        <v>34.53</v>
      </c>
      <c r="G163" s="127">
        <v>0.1</v>
      </c>
      <c r="H163" s="128">
        <f t="shared" ref="H163" si="42">F163*(1+G163)</f>
        <v>37.983000000000004</v>
      </c>
      <c r="I163" s="129" t="s">
        <v>15</v>
      </c>
      <c r="J163" s="729">
        <v>0</v>
      </c>
      <c r="K163" s="734">
        <f>J163*H163</f>
        <v>0</v>
      </c>
      <c r="L163" s="722"/>
      <c r="M163" s="749"/>
    </row>
    <row r="164" spans="1:13" s="394" customFormat="1" x14ac:dyDescent="0.2">
      <c r="A164" s="714" t="str">
        <f>IF(F164&lt;&gt;"",1+MAX($A$1:A163),"")</f>
        <v/>
      </c>
      <c r="B164" s="141"/>
      <c r="C164" s="123"/>
      <c r="D164" s="726"/>
      <c r="E164" s="750"/>
      <c r="F164" s="638"/>
      <c r="G164" s="436"/>
      <c r="H164" s="140"/>
      <c r="I164" s="141"/>
      <c r="J164" s="731"/>
      <c r="K164" s="730"/>
      <c r="L164" s="722"/>
      <c r="M164" s="706"/>
    </row>
    <row r="165" spans="1:13" s="394" customFormat="1" x14ac:dyDescent="0.2">
      <c r="A165" s="714">
        <f>IF(F165&lt;&gt;"",1+MAX($A$1:A164),"")</f>
        <v>101</v>
      </c>
      <c r="B165" s="141" t="s">
        <v>1361</v>
      </c>
      <c r="C165" s="123" t="s">
        <v>1461</v>
      </c>
      <c r="D165" s="747">
        <f>H165*1.7/27</f>
        <v>21.816666666666666</v>
      </c>
      <c r="E165" s="753" t="s">
        <v>1465</v>
      </c>
      <c r="F165" s="738">
        <v>315</v>
      </c>
      <c r="G165" s="127">
        <v>0.1</v>
      </c>
      <c r="H165" s="128">
        <f t="shared" ref="H165" si="43">F165*(1+G165)</f>
        <v>346.5</v>
      </c>
      <c r="I165" s="129" t="s">
        <v>15</v>
      </c>
      <c r="J165" s="729">
        <v>0</v>
      </c>
      <c r="K165" s="734">
        <f>J165*H165</f>
        <v>0</v>
      </c>
      <c r="L165" s="722"/>
      <c r="M165" s="749"/>
    </row>
    <row r="166" spans="1:13" s="394" customFormat="1" x14ac:dyDescent="0.2">
      <c r="A166" s="714" t="str">
        <f>IF(F166&lt;&gt;"",1+MAX($A$1:A165),"")</f>
        <v/>
      </c>
      <c r="B166" s="141"/>
      <c r="C166" s="123"/>
      <c r="D166" s="726"/>
      <c r="E166" s="750"/>
      <c r="F166" s="638"/>
      <c r="G166" s="436"/>
      <c r="H166" s="140"/>
      <c r="I166" s="141"/>
      <c r="J166" s="731"/>
      <c r="K166" s="730"/>
      <c r="L166" s="722"/>
      <c r="M166" s="706"/>
    </row>
    <row r="167" spans="1:13" s="394" customFormat="1" x14ac:dyDescent="0.2">
      <c r="A167" s="714">
        <f>IF(F167&lt;&gt;"",1+MAX($A$1:A166),"")</f>
        <v>102</v>
      </c>
      <c r="B167" s="141" t="s">
        <v>1425</v>
      </c>
      <c r="C167" s="123" t="s">
        <v>1466</v>
      </c>
      <c r="D167" s="747">
        <f>H167*2.25/27</f>
        <v>12.344749999999999</v>
      </c>
      <c r="E167" s="753" t="s">
        <v>1467</v>
      </c>
      <c r="F167" s="738">
        <v>134.66999999999999</v>
      </c>
      <c r="G167" s="127">
        <v>0.1</v>
      </c>
      <c r="H167" s="128">
        <f t="shared" ref="H167" si="44">F167*(1+G167)</f>
        <v>148.137</v>
      </c>
      <c r="I167" s="129" t="s">
        <v>15</v>
      </c>
      <c r="J167" s="729">
        <v>0</v>
      </c>
      <c r="K167" s="734">
        <f>J167*H167</f>
        <v>0</v>
      </c>
      <c r="L167" s="722"/>
      <c r="M167" s="749"/>
    </row>
    <row r="168" spans="1:13" ht="16.5" thickBot="1" x14ac:dyDescent="0.25">
      <c r="A168" s="714" t="str">
        <f>IF(F168&lt;&gt;"",1+MAX($A$1:A167),"")</f>
        <v/>
      </c>
      <c r="B168" s="141"/>
      <c r="C168" s="723"/>
      <c r="D168" s="368"/>
      <c r="E168" s="813"/>
      <c r="F168" s="573"/>
      <c r="G168" s="574"/>
      <c r="H168" s="573"/>
      <c r="I168" s="575"/>
      <c r="J168" s="741"/>
      <c r="K168" s="577"/>
      <c r="L168" s="578"/>
    </row>
    <row r="169" spans="1:13" ht="16.5" thickBot="1" x14ac:dyDescent="0.25">
      <c r="A169" s="714" t="str">
        <f>IF(F169&lt;&gt;"",1+MAX($A$1:A168),"")</f>
        <v/>
      </c>
      <c r="B169" s="726"/>
      <c r="C169" s="726"/>
      <c r="D169" s="370"/>
      <c r="E169" s="742" t="s">
        <v>1468</v>
      </c>
      <c r="F169" s="738"/>
      <c r="G169" s="743"/>
      <c r="H169" s="128"/>
      <c r="I169" s="129"/>
      <c r="J169" s="744"/>
      <c r="K169" s="69"/>
      <c r="L169" s="49">
        <f>SUM(K160:K168)</f>
        <v>0</v>
      </c>
      <c r="M169" s="745"/>
    </row>
    <row r="170" spans="1:13" s="394" customFormat="1" ht="16.5" thickBot="1" x14ac:dyDescent="0.25">
      <c r="A170" s="714" t="str">
        <f>IF(F170&lt;&gt;"",1+MAX($A$1:A169),"")</f>
        <v/>
      </c>
      <c r="B170" s="141"/>
      <c r="C170" s="723"/>
      <c r="D170" s="726"/>
      <c r="E170" s="750"/>
      <c r="F170" s="638"/>
      <c r="G170" s="436"/>
      <c r="H170" s="140"/>
      <c r="I170" s="141"/>
      <c r="J170" s="731"/>
      <c r="K170" s="730"/>
      <c r="L170" s="722"/>
      <c r="M170" s="706"/>
    </row>
    <row r="171" spans="1:13" ht="16.5" thickBot="1" x14ac:dyDescent="0.25">
      <c r="A171" s="714" t="str">
        <f>IF(F171&lt;&gt;"",1+MAX($A$1:A170),"")</f>
        <v/>
      </c>
      <c r="B171" s="141"/>
      <c r="C171" s="123"/>
      <c r="D171" s="370"/>
      <c r="E171" s="561" t="s">
        <v>1469</v>
      </c>
      <c r="F171" s="537"/>
      <c r="G171" s="718"/>
      <c r="H171" s="719"/>
      <c r="I171" s="720"/>
      <c r="J171" s="721"/>
      <c r="K171" s="811"/>
      <c r="L171" s="722"/>
    </row>
    <row r="172" spans="1:13" s="394" customFormat="1" x14ac:dyDescent="0.2">
      <c r="A172" s="714">
        <f>IF(F172&lt;&gt;"",1+MAX($A$1:A171),"")</f>
        <v>103</v>
      </c>
      <c r="B172" s="141" t="s">
        <v>1443</v>
      </c>
      <c r="C172" s="757" t="s">
        <v>437</v>
      </c>
      <c r="D172" s="747">
        <f>H172*0.334/27</f>
        <v>1.0885925925925928</v>
      </c>
      <c r="E172" s="753" t="s">
        <v>1470</v>
      </c>
      <c r="F172" s="126">
        <v>80</v>
      </c>
      <c r="G172" s="127">
        <v>0.1</v>
      </c>
      <c r="H172" s="128">
        <f t="shared" ref="H172" si="45">F172*(1+G172)</f>
        <v>88</v>
      </c>
      <c r="I172" s="129" t="s">
        <v>18</v>
      </c>
      <c r="J172" s="729">
        <v>0</v>
      </c>
      <c r="K172" s="734">
        <f>J172*H172</f>
        <v>0</v>
      </c>
      <c r="L172" s="722"/>
      <c r="M172" s="749"/>
    </row>
    <row r="173" spans="1:13" x14ac:dyDescent="0.2">
      <c r="A173" s="714">
        <f>IF(F173&lt;&gt;"",1+MAX($A$1:A172),"")</f>
        <v>104</v>
      </c>
      <c r="B173" s="141" t="s">
        <v>1443</v>
      </c>
      <c r="C173" s="757" t="s">
        <v>437</v>
      </c>
      <c r="D173" s="726"/>
      <c r="E173" s="753" t="s">
        <v>1156</v>
      </c>
      <c r="F173" s="126">
        <f>80*1.283</f>
        <v>102.63999999999999</v>
      </c>
      <c r="G173" s="127">
        <v>0.1</v>
      </c>
      <c r="H173" s="128">
        <f>F173*(1+G173)</f>
        <v>112.904</v>
      </c>
      <c r="I173" s="129" t="s">
        <v>427</v>
      </c>
      <c r="J173" s="740">
        <f>J$132</f>
        <v>0</v>
      </c>
      <c r="K173" s="734">
        <f>J173*H173</f>
        <v>0</v>
      </c>
      <c r="L173" s="722"/>
      <c r="M173" s="745"/>
    </row>
    <row r="174" spans="1:13" x14ac:dyDescent="0.2">
      <c r="A174" s="714">
        <f>IF(F174&lt;&gt;"",1+MAX($A$1:A173),"")</f>
        <v>105</v>
      </c>
      <c r="B174" s="141" t="s">
        <v>1443</v>
      </c>
      <c r="C174" s="757" t="s">
        <v>437</v>
      </c>
      <c r="D174" s="726"/>
      <c r="E174" s="753" t="s">
        <v>1446</v>
      </c>
      <c r="F174" s="126">
        <f>F172*0.14</f>
        <v>11.200000000000001</v>
      </c>
      <c r="G174" s="127">
        <v>0.1</v>
      </c>
      <c r="H174" s="128">
        <f>F174*(1+G174)</f>
        <v>12.320000000000002</v>
      </c>
      <c r="I174" s="129" t="s">
        <v>15</v>
      </c>
      <c r="J174" s="740">
        <f>J$133</f>
        <v>0</v>
      </c>
      <c r="K174" s="734">
        <f>J174*H174</f>
        <v>0</v>
      </c>
      <c r="L174" s="722"/>
      <c r="M174" s="745"/>
    </row>
    <row r="175" spans="1:13" x14ac:dyDescent="0.2">
      <c r="A175" s="714">
        <f>IF(F175&lt;&gt;"",1+MAX($A$1:A174),"")</f>
        <v>106</v>
      </c>
      <c r="B175" s="141" t="s">
        <v>1443</v>
      </c>
      <c r="C175" s="757" t="s">
        <v>437</v>
      </c>
      <c r="D175" s="726"/>
      <c r="E175" s="753" t="s">
        <v>1159</v>
      </c>
      <c r="F175" s="126">
        <f>F172*0.08</f>
        <v>6.4</v>
      </c>
      <c r="G175" s="127">
        <v>0.1</v>
      </c>
      <c r="H175" s="128">
        <f t="shared" ref="H175" si="46">F175*(1+G175)</f>
        <v>7.0400000000000009</v>
      </c>
      <c r="I175" s="129" t="s">
        <v>15</v>
      </c>
      <c r="J175" s="740">
        <f>J$134</f>
        <v>0</v>
      </c>
      <c r="K175" s="734">
        <f t="shared" ref="K175" si="47">J175*H175</f>
        <v>0</v>
      </c>
      <c r="L175" s="722"/>
      <c r="M175" s="745"/>
    </row>
    <row r="176" spans="1:13" x14ac:dyDescent="0.2">
      <c r="A176" s="714">
        <f>IF(F176&lt;&gt;"",1+MAX($A$1:A175),"")</f>
        <v>107</v>
      </c>
      <c r="B176" s="141" t="s">
        <v>1443</v>
      </c>
      <c r="C176" s="757" t="s">
        <v>437</v>
      </c>
      <c r="D176" s="726"/>
      <c r="E176" s="753" t="s">
        <v>1157</v>
      </c>
      <c r="F176" s="126">
        <v>36</v>
      </c>
      <c r="G176" s="127">
        <v>0.1</v>
      </c>
      <c r="H176" s="128">
        <f>F176*(1+G176)</f>
        <v>39.6</v>
      </c>
      <c r="I176" s="129" t="s">
        <v>15</v>
      </c>
      <c r="J176" s="740">
        <f>J$146</f>
        <v>0</v>
      </c>
      <c r="K176" s="734">
        <f>J176*H176</f>
        <v>0</v>
      </c>
      <c r="L176" s="722"/>
      <c r="M176" s="745"/>
    </row>
    <row r="177" spans="1:13" s="394" customFormat="1" x14ac:dyDescent="0.2">
      <c r="A177" s="714" t="str">
        <f>IF(F177&lt;&gt;"",1+MAX($A$1:A176),"")</f>
        <v/>
      </c>
      <c r="B177" s="141"/>
      <c r="C177" s="123"/>
      <c r="D177" s="726"/>
      <c r="E177" s="755" t="s">
        <v>1471</v>
      </c>
      <c r="F177" s="728"/>
      <c r="G177" s="436"/>
      <c r="H177" s="140"/>
      <c r="I177" s="141"/>
      <c r="J177" s="731"/>
      <c r="K177" s="730"/>
      <c r="L177" s="722"/>
      <c r="M177" s="706"/>
    </row>
    <row r="178" spans="1:13" ht="16.5" thickBot="1" x14ac:dyDescent="0.25">
      <c r="A178" s="714" t="str">
        <f>IF(F178&lt;&gt;"",1+MAX($A$1:A177),"")</f>
        <v/>
      </c>
      <c r="B178" s="141"/>
      <c r="C178" s="723"/>
      <c r="D178" s="368"/>
      <c r="E178" s="813"/>
      <c r="F178" s="573"/>
      <c r="G178" s="574"/>
      <c r="H178" s="573"/>
      <c r="I178" s="575"/>
      <c r="J178" s="741"/>
      <c r="K178" s="577"/>
      <c r="L178" s="578"/>
    </row>
    <row r="179" spans="1:13" ht="16.5" thickBot="1" x14ac:dyDescent="0.25">
      <c r="A179" s="714" t="str">
        <f>IF(F179&lt;&gt;"",1+MAX($A$1:A178),"")</f>
        <v/>
      </c>
      <c r="B179" s="726"/>
      <c r="C179" s="726"/>
      <c r="D179" s="370"/>
      <c r="E179" s="742" t="s">
        <v>1472</v>
      </c>
      <c r="F179" s="738"/>
      <c r="G179" s="743"/>
      <c r="H179" s="128"/>
      <c r="I179" s="129"/>
      <c r="J179" s="744"/>
      <c r="K179" s="69"/>
      <c r="L179" s="49">
        <f>SUM(K170:K178)</f>
        <v>0</v>
      </c>
      <c r="M179" s="745"/>
    </row>
    <row r="180" spans="1:13" s="394" customFormat="1" ht="16.5" thickBot="1" x14ac:dyDescent="0.25">
      <c r="A180" s="714" t="str">
        <f>IF(F180&lt;&gt;"",1+MAX($A$1:A179),"")</f>
        <v/>
      </c>
      <c r="B180" s="141"/>
      <c r="C180" s="123"/>
      <c r="D180" s="726"/>
      <c r="E180" s="750"/>
      <c r="F180" s="638"/>
      <c r="G180" s="436"/>
      <c r="H180" s="140"/>
      <c r="I180" s="141"/>
      <c r="J180" s="731"/>
      <c r="K180" s="730"/>
      <c r="L180" s="722"/>
      <c r="M180" s="706"/>
    </row>
    <row r="181" spans="1:13" ht="16.5" thickBot="1" x14ac:dyDescent="0.25">
      <c r="A181" s="714" t="str">
        <f>IF(F181&lt;&gt;"",1+MAX($A$1:A180),"")</f>
        <v/>
      </c>
      <c r="B181" s="141"/>
      <c r="C181" s="123"/>
      <c r="D181" s="370"/>
      <c r="E181" s="561" t="s">
        <v>1473</v>
      </c>
      <c r="F181" s="537"/>
      <c r="G181" s="718"/>
      <c r="H181" s="719"/>
      <c r="I181" s="720"/>
      <c r="J181" s="721"/>
      <c r="K181" s="811"/>
      <c r="L181" s="722"/>
    </row>
    <row r="182" spans="1:13" s="394" customFormat="1" ht="31.5" x14ac:dyDescent="0.2">
      <c r="A182" s="714">
        <f>IF(F182&lt;&gt;"",1+MAX($A$1:A181),"")</f>
        <v>108</v>
      </c>
      <c r="B182" s="141" t="s">
        <v>1474</v>
      </c>
      <c r="C182" s="123" t="s">
        <v>1475</v>
      </c>
      <c r="D182" s="726"/>
      <c r="E182" s="748" t="s">
        <v>1476</v>
      </c>
      <c r="F182" s="139">
        <v>4130</v>
      </c>
      <c r="G182" s="127">
        <v>0.1</v>
      </c>
      <c r="H182" s="140">
        <f t="shared" ref="H182:H189" si="48">F182*(1+G182)</f>
        <v>4543</v>
      </c>
      <c r="I182" s="141" t="s">
        <v>18</v>
      </c>
      <c r="J182" s="740">
        <f>J$141</f>
        <v>0</v>
      </c>
      <c r="K182" s="730">
        <f t="shared" ref="K182:K189" si="49">J182*H182</f>
        <v>0</v>
      </c>
      <c r="L182" s="722"/>
      <c r="M182" s="749"/>
    </row>
    <row r="183" spans="1:13" s="394" customFormat="1" ht="47.25" x14ac:dyDescent="0.2">
      <c r="A183" s="714">
        <f>IF(F183&lt;&gt;"",1+MAX($A$1:A182),"")</f>
        <v>109</v>
      </c>
      <c r="B183" s="141" t="s">
        <v>1443</v>
      </c>
      <c r="C183" s="123" t="s">
        <v>1477</v>
      </c>
      <c r="D183" s="726"/>
      <c r="E183" s="748" t="s">
        <v>1478</v>
      </c>
      <c r="F183" s="139">
        <v>788</v>
      </c>
      <c r="G183" s="127">
        <v>0.1</v>
      </c>
      <c r="H183" s="140">
        <f t="shared" si="48"/>
        <v>866.80000000000007</v>
      </c>
      <c r="I183" s="141" t="s">
        <v>18</v>
      </c>
      <c r="J183" s="729">
        <v>0</v>
      </c>
      <c r="K183" s="730">
        <f t="shared" si="49"/>
        <v>0</v>
      </c>
      <c r="L183" s="722"/>
      <c r="M183" s="749"/>
    </row>
    <row r="184" spans="1:13" s="394" customFormat="1" x14ac:dyDescent="0.2">
      <c r="A184" s="714">
        <f>IF(F184&lt;&gt;"",1+MAX($A$1:A183),"")</f>
        <v>110</v>
      </c>
      <c r="B184" s="141" t="s">
        <v>1443</v>
      </c>
      <c r="C184" s="123" t="s">
        <v>1477</v>
      </c>
      <c r="D184" s="726"/>
      <c r="E184" s="748" t="s">
        <v>1479</v>
      </c>
      <c r="F184" s="139">
        <f>F183</f>
        <v>788</v>
      </c>
      <c r="G184" s="127">
        <v>0.1</v>
      </c>
      <c r="H184" s="140">
        <f t="shared" si="48"/>
        <v>866.80000000000007</v>
      </c>
      <c r="I184" s="141" t="s">
        <v>18</v>
      </c>
      <c r="J184" s="729">
        <v>0</v>
      </c>
      <c r="K184" s="730">
        <f t="shared" si="49"/>
        <v>0</v>
      </c>
      <c r="L184" s="722"/>
      <c r="M184" s="749"/>
    </row>
    <row r="185" spans="1:13" s="394" customFormat="1" ht="63" x14ac:dyDescent="0.2">
      <c r="A185" s="714">
        <f>IF(F185&lt;&gt;"",1+MAX($A$1:A184),"")</f>
        <v>111</v>
      </c>
      <c r="B185" s="141" t="s">
        <v>1443</v>
      </c>
      <c r="C185" s="123" t="s">
        <v>1480</v>
      </c>
      <c r="D185" s="726"/>
      <c r="E185" s="748" t="s">
        <v>1481</v>
      </c>
      <c r="F185" s="139">
        <v>83</v>
      </c>
      <c r="G185" s="127">
        <v>0.1</v>
      </c>
      <c r="H185" s="140">
        <f t="shared" si="48"/>
        <v>91.300000000000011</v>
      </c>
      <c r="I185" s="141" t="s">
        <v>18</v>
      </c>
      <c r="J185" s="729">
        <v>0</v>
      </c>
      <c r="K185" s="730">
        <f t="shared" si="49"/>
        <v>0</v>
      </c>
      <c r="L185" s="722"/>
      <c r="M185" s="749"/>
    </row>
    <row r="186" spans="1:13" s="394" customFormat="1" ht="63" x14ac:dyDescent="0.2">
      <c r="A186" s="714">
        <f>IF(F186&lt;&gt;"",1+MAX($A$1:A185),"")</f>
        <v>112</v>
      </c>
      <c r="B186" s="141" t="s">
        <v>1443</v>
      </c>
      <c r="C186" s="123" t="s">
        <v>1480</v>
      </c>
      <c r="D186" s="726"/>
      <c r="E186" s="748" t="s">
        <v>1482</v>
      </c>
      <c r="F186" s="139">
        <v>118</v>
      </c>
      <c r="G186" s="127">
        <v>0.1</v>
      </c>
      <c r="H186" s="140">
        <f t="shared" si="48"/>
        <v>129.80000000000001</v>
      </c>
      <c r="I186" s="141" t="s">
        <v>18</v>
      </c>
      <c r="J186" s="731">
        <f t="shared" ref="J186:J188" si="50">J$185</f>
        <v>0</v>
      </c>
      <c r="K186" s="730">
        <f t="shared" si="49"/>
        <v>0</v>
      </c>
      <c r="L186" s="722"/>
      <c r="M186" s="749"/>
    </row>
    <row r="187" spans="1:13" s="394" customFormat="1" ht="63" x14ac:dyDescent="0.2">
      <c r="A187" s="714">
        <f>IF(F187&lt;&gt;"",1+MAX($A$1:A186),"")</f>
        <v>113</v>
      </c>
      <c r="B187" s="141" t="s">
        <v>1443</v>
      </c>
      <c r="C187" s="123" t="s">
        <v>1480</v>
      </c>
      <c r="D187" s="726"/>
      <c r="E187" s="748" t="s">
        <v>1483</v>
      </c>
      <c r="F187" s="139">
        <v>145</v>
      </c>
      <c r="G187" s="127">
        <v>0.1</v>
      </c>
      <c r="H187" s="140">
        <f t="shared" si="48"/>
        <v>159.5</v>
      </c>
      <c r="I187" s="141" t="s">
        <v>18</v>
      </c>
      <c r="J187" s="731">
        <f t="shared" si="50"/>
        <v>0</v>
      </c>
      <c r="K187" s="730">
        <f t="shared" si="49"/>
        <v>0</v>
      </c>
      <c r="L187" s="722"/>
      <c r="M187" s="749"/>
    </row>
    <row r="188" spans="1:13" s="394" customFormat="1" ht="63" x14ac:dyDescent="0.2">
      <c r="A188" s="714">
        <f>IF(F188&lt;&gt;"",1+MAX($A$1:A187),"")</f>
        <v>114</v>
      </c>
      <c r="B188" s="141" t="s">
        <v>1443</v>
      </c>
      <c r="C188" s="123" t="s">
        <v>1480</v>
      </c>
      <c r="D188" s="726"/>
      <c r="E188" s="748" t="s">
        <v>1484</v>
      </c>
      <c r="F188" s="139">
        <v>108</v>
      </c>
      <c r="G188" s="127">
        <v>0.1</v>
      </c>
      <c r="H188" s="140">
        <f t="shared" si="48"/>
        <v>118.80000000000001</v>
      </c>
      <c r="I188" s="141" t="s">
        <v>18</v>
      </c>
      <c r="J188" s="731">
        <f t="shared" si="50"/>
        <v>0</v>
      </c>
      <c r="K188" s="730">
        <f t="shared" si="49"/>
        <v>0</v>
      </c>
      <c r="L188" s="722"/>
      <c r="M188" s="749"/>
    </row>
    <row r="189" spans="1:13" s="394" customFormat="1" ht="63" x14ac:dyDescent="0.2">
      <c r="A189" s="714">
        <f>IF(F189&lt;&gt;"",1+MAX($A$1:A188),"")</f>
        <v>115</v>
      </c>
      <c r="B189" s="141" t="s">
        <v>1485</v>
      </c>
      <c r="C189" s="123" t="s">
        <v>1486</v>
      </c>
      <c r="D189" s="726"/>
      <c r="E189" s="748" t="s">
        <v>1823</v>
      </c>
      <c r="F189" s="139">
        <v>2797</v>
      </c>
      <c r="G189" s="127">
        <v>0.1</v>
      </c>
      <c r="H189" s="140">
        <f t="shared" si="48"/>
        <v>3076.7000000000003</v>
      </c>
      <c r="I189" s="141" t="s">
        <v>18</v>
      </c>
      <c r="J189" s="729">
        <v>0</v>
      </c>
      <c r="K189" s="730">
        <f t="shared" si="49"/>
        <v>0</v>
      </c>
      <c r="L189" s="722"/>
      <c r="M189" s="749"/>
    </row>
    <row r="190" spans="1:13" s="394" customFormat="1" x14ac:dyDescent="0.2">
      <c r="A190" s="714" t="str">
        <f>IF(F190&lt;&gt;"",1+MAX($A$1:A189),"")</f>
        <v/>
      </c>
      <c r="B190" s="141"/>
      <c r="C190" s="123"/>
      <c r="D190" s="726"/>
      <c r="E190" s="755" t="s">
        <v>1487</v>
      </c>
      <c r="F190" s="728"/>
      <c r="G190" s="436"/>
      <c r="H190" s="140"/>
      <c r="I190" s="141"/>
      <c r="J190" s="731"/>
      <c r="K190" s="730"/>
      <c r="L190" s="722"/>
      <c r="M190" s="706"/>
    </row>
    <row r="191" spans="1:13" ht="16.5" thickBot="1" x14ac:dyDescent="0.25">
      <c r="A191" s="714" t="str">
        <f>IF(F191&lt;&gt;"",1+MAX($A$1:A190),"")</f>
        <v/>
      </c>
      <c r="B191" s="141"/>
      <c r="C191" s="723"/>
      <c r="D191" s="368"/>
      <c r="E191" s="813"/>
      <c r="F191" s="573"/>
      <c r="G191" s="574"/>
      <c r="H191" s="573"/>
      <c r="I191" s="575"/>
      <c r="J191" s="741"/>
      <c r="K191" s="577"/>
      <c r="L191" s="578"/>
    </row>
    <row r="192" spans="1:13" ht="16.5" thickBot="1" x14ac:dyDescent="0.25">
      <c r="A192" s="714" t="str">
        <f>IF(F192&lt;&gt;"",1+MAX($A$1:A191),"")</f>
        <v/>
      </c>
      <c r="B192" s="726"/>
      <c r="C192" s="726"/>
      <c r="D192" s="370"/>
      <c r="E192" s="742" t="s">
        <v>1488</v>
      </c>
      <c r="F192" s="738"/>
      <c r="G192" s="743"/>
      <c r="H192" s="128"/>
      <c r="I192" s="129"/>
      <c r="J192" s="744"/>
      <c r="K192" s="69"/>
      <c r="L192" s="49">
        <f>SUM(K181:K191)</f>
        <v>0</v>
      </c>
      <c r="M192" s="745"/>
    </row>
    <row r="193" spans="1:13" s="394" customFormat="1" ht="16.5" thickBot="1" x14ac:dyDescent="0.25">
      <c r="A193" s="714" t="str">
        <f>IF(F193&lt;&gt;"",1+MAX($A$1:A192),"")</f>
        <v/>
      </c>
      <c r="B193" s="141"/>
      <c r="C193" s="123"/>
      <c r="D193" s="726"/>
      <c r="E193" s="758"/>
      <c r="F193" s="638"/>
      <c r="G193" s="436"/>
      <c r="H193" s="140"/>
      <c r="I193" s="141"/>
      <c r="J193" s="731"/>
      <c r="K193" s="730"/>
      <c r="L193" s="722"/>
      <c r="M193" s="706"/>
    </row>
    <row r="194" spans="1:13" ht="16.5" thickBot="1" x14ac:dyDescent="0.25">
      <c r="A194" s="714" t="str">
        <f>IF(F194&lt;&gt;"",1+MAX($A$1:A193),"")</f>
        <v/>
      </c>
      <c r="B194" s="141"/>
      <c r="C194" s="123"/>
      <c r="D194" s="370"/>
      <c r="E194" s="561" t="s">
        <v>1489</v>
      </c>
      <c r="F194" s="537"/>
      <c r="G194" s="718"/>
      <c r="H194" s="719"/>
      <c r="I194" s="720"/>
      <c r="J194" s="721"/>
      <c r="K194" s="811"/>
      <c r="L194" s="722"/>
    </row>
    <row r="195" spans="1:13" s="394" customFormat="1" ht="47.25" x14ac:dyDescent="0.2">
      <c r="A195" s="714" t="str">
        <f>IF(F195&lt;&gt;"",1+MAX($A$1:A194),"")</f>
        <v/>
      </c>
      <c r="B195" s="141"/>
      <c r="C195" s="123"/>
      <c r="D195" s="726"/>
      <c r="E195" s="751" t="s">
        <v>1490</v>
      </c>
      <c r="F195" s="728"/>
      <c r="G195" s="127"/>
      <c r="H195" s="140"/>
      <c r="I195" s="141"/>
      <c r="J195" s="740"/>
      <c r="K195" s="734"/>
      <c r="L195" s="722"/>
      <c r="M195" s="749"/>
    </row>
    <row r="196" spans="1:13" s="394" customFormat="1" x14ac:dyDescent="0.2">
      <c r="A196" s="714">
        <f>IF(F196&lt;&gt;"",1+MAX($A$1:A195),"")</f>
        <v>116</v>
      </c>
      <c r="B196" s="141" t="s">
        <v>1491</v>
      </c>
      <c r="C196" s="123" t="s">
        <v>1492</v>
      </c>
      <c r="D196" s="726"/>
      <c r="E196" s="753" t="s">
        <v>1493</v>
      </c>
      <c r="F196" s="126">
        <f>345*3.5</f>
        <v>1207.5</v>
      </c>
      <c r="G196" s="127">
        <v>0.1</v>
      </c>
      <c r="H196" s="140">
        <f t="shared" ref="H196:H200" si="51">F196*(1+G196)</f>
        <v>1328.25</v>
      </c>
      <c r="I196" s="141" t="s">
        <v>18</v>
      </c>
      <c r="J196" s="729">
        <v>0</v>
      </c>
      <c r="K196" s="730">
        <f>J196*H196</f>
        <v>0</v>
      </c>
      <c r="L196" s="722"/>
      <c r="M196" s="749"/>
    </row>
    <row r="197" spans="1:13" s="394" customFormat="1" x14ac:dyDescent="0.2">
      <c r="A197" s="714">
        <f>IF(F197&lt;&gt;"",1+MAX($A$1:A196),"")</f>
        <v>117</v>
      </c>
      <c r="B197" s="141" t="s">
        <v>1491</v>
      </c>
      <c r="C197" s="123" t="s">
        <v>1492</v>
      </c>
      <c r="D197" s="726"/>
      <c r="E197" s="753" t="s">
        <v>1494</v>
      </c>
      <c r="F197" s="126">
        <f>345</f>
        <v>345</v>
      </c>
      <c r="G197" s="127">
        <v>0.1</v>
      </c>
      <c r="H197" s="140">
        <f t="shared" si="51"/>
        <v>379.50000000000006</v>
      </c>
      <c r="I197" s="141" t="s">
        <v>15</v>
      </c>
      <c r="J197" s="729">
        <v>0</v>
      </c>
      <c r="K197" s="730">
        <f>J197*H197</f>
        <v>0</v>
      </c>
      <c r="L197" s="722"/>
      <c r="M197" s="749"/>
    </row>
    <row r="198" spans="1:13" s="394" customFormat="1" x14ac:dyDescent="0.2">
      <c r="A198" s="714">
        <f>IF(F198&lt;&gt;"",1+MAX($A$1:A197),"")</f>
        <v>118</v>
      </c>
      <c r="B198" s="141" t="s">
        <v>1491</v>
      </c>
      <c r="C198" s="141" t="s">
        <v>1495</v>
      </c>
      <c r="D198" s="726"/>
      <c r="E198" s="753" t="s">
        <v>1496</v>
      </c>
      <c r="F198" s="126">
        <f>1*345*0.668*1.2</f>
        <v>276.55200000000002</v>
      </c>
      <c r="G198" s="127">
        <v>0.1</v>
      </c>
      <c r="H198" s="140">
        <f t="shared" si="51"/>
        <v>304.20720000000006</v>
      </c>
      <c r="I198" s="141" t="s">
        <v>427</v>
      </c>
      <c r="J198" s="740">
        <f t="shared" ref="J198:J200" si="52">J$132</f>
        <v>0</v>
      </c>
      <c r="K198" s="730">
        <f>J198*H198</f>
        <v>0</v>
      </c>
      <c r="L198" s="722"/>
      <c r="M198" s="749"/>
    </row>
    <row r="199" spans="1:13" s="394" customFormat="1" x14ac:dyDescent="0.2">
      <c r="A199" s="714">
        <f>IF(F199&lt;&gt;"",1+MAX($A$1:A198),"")</f>
        <v>119</v>
      </c>
      <c r="B199" s="141" t="s">
        <v>1491</v>
      </c>
      <c r="C199" s="141" t="s">
        <v>1495</v>
      </c>
      <c r="D199" s="726"/>
      <c r="E199" s="753" t="s">
        <v>1497</v>
      </c>
      <c r="F199" s="126">
        <f>(3.5/2+1)*345*0.668*1.2</f>
        <v>760.51799999999992</v>
      </c>
      <c r="G199" s="127">
        <v>0.1</v>
      </c>
      <c r="H199" s="140">
        <f t="shared" si="51"/>
        <v>836.56979999999999</v>
      </c>
      <c r="I199" s="141" t="s">
        <v>427</v>
      </c>
      <c r="J199" s="740">
        <f t="shared" si="52"/>
        <v>0</v>
      </c>
      <c r="K199" s="730">
        <f>J199*H199</f>
        <v>0</v>
      </c>
      <c r="L199" s="722"/>
      <c r="M199" s="749"/>
    </row>
    <row r="200" spans="1:13" s="394" customFormat="1" x14ac:dyDescent="0.2">
      <c r="A200" s="714">
        <f>IF(F200&lt;&gt;"",1+MAX($A$1:A199),"")</f>
        <v>120</v>
      </c>
      <c r="B200" s="141" t="s">
        <v>1491</v>
      </c>
      <c r="C200" s="141" t="s">
        <v>1495</v>
      </c>
      <c r="D200" s="726"/>
      <c r="E200" s="753" t="s">
        <v>1498</v>
      </c>
      <c r="F200" s="126">
        <f>(345/1.34+1)*5.5*0.668*1.2</f>
        <v>1139.5102925373133</v>
      </c>
      <c r="G200" s="127">
        <v>0.1</v>
      </c>
      <c r="H200" s="140">
        <f t="shared" si="51"/>
        <v>1253.4613217910446</v>
      </c>
      <c r="I200" s="141" t="s">
        <v>427</v>
      </c>
      <c r="J200" s="740">
        <f t="shared" si="52"/>
        <v>0</v>
      </c>
      <c r="K200" s="730">
        <f>J200*H200</f>
        <v>0</v>
      </c>
      <c r="L200" s="722"/>
      <c r="M200" s="749"/>
    </row>
    <row r="201" spans="1:13" s="394" customFormat="1" x14ac:dyDescent="0.2">
      <c r="A201" s="714" t="str">
        <f>IF(F201&lt;&gt;"",1+MAX($A$1:A200),"")</f>
        <v/>
      </c>
      <c r="B201" s="141"/>
      <c r="C201" s="759"/>
      <c r="D201" s="726"/>
      <c r="E201" s="753"/>
      <c r="F201" s="126"/>
      <c r="G201" s="127"/>
      <c r="H201" s="140"/>
      <c r="I201" s="141"/>
      <c r="J201" s="141"/>
      <c r="K201" s="730"/>
      <c r="L201" s="722"/>
      <c r="M201" s="749"/>
    </row>
    <row r="202" spans="1:13" s="394" customFormat="1" ht="47.25" x14ac:dyDescent="0.2">
      <c r="A202" s="714" t="str">
        <f>IF(F202&lt;&gt;"",1+MAX($A$1:A201),"")</f>
        <v/>
      </c>
      <c r="B202" s="141"/>
      <c r="C202" s="123"/>
      <c r="D202" s="726"/>
      <c r="E202" s="751" t="s">
        <v>1499</v>
      </c>
      <c r="F202" s="126"/>
      <c r="G202" s="127"/>
      <c r="H202" s="140"/>
      <c r="I202" s="141"/>
      <c r="J202" s="141"/>
      <c r="K202" s="730"/>
      <c r="L202" s="722"/>
      <c r="M202" s="749"/>
    </row>
    <row r="203" spans="1:13" s="394" customFormat="1" x14ac:dyDescent="0.2">
      <c r="A203" s="714">
        <f>IF(F203&lt;&gt;"",1+MAX($A$1:A202),"")</f>
        <v>121</v>
      </c>
      <c r="B203" s="141" t="s">
        <v>1491</v>
      </c>
      <c r="C203" s="123" t="s">
        <v>1492</v>
      </c>
      <c r="D203" s="726"/>
      <c r="E203" s="753" t="s">
        <v>1493</v>
      </c>
      <c r="F203" s="126">
        <f>547*2.17</f>
        <v>1186.99</v>
      </c>
      <c r="G203" s="127">
        <v>0.1</v>
      </c>
      <c r="H203" s="140">
        <f t="shared" ref="H203:H207" si="53">F203*(1+G203)</f>
        <v>1305.6890000000001</v>
      </c>
      <c r="I203" s="141" t="s">
        <v>18</v>
      </c>
      <c r="J203" s="740">
        <f>J$196</f>
        <v>0</v>
      </c>
      <c r="K203" s="730">
        <f t="shared" ref="K203:K207" si="54">J203*H203</f>
        <v>0</v>
      </c>
      <c r="L203" s="722"/>
      <c r="M203" s="749"/>
    </row>
    <row r="204" spans="1:13" s="394" customFormat="1" x14ac:dyDescent="0.2">
      <c r="A204" s="714">
        <f>IF(F204&lt;&gt;"",1+MAX($A$1:A203),"")</f>
        <v>122</v>
      </c>
      <c r="B204" s="141" t="s">
        <v>1491</v>
      </c>
      <c r="C204" s="123" t="s">
        <v>1492</v>
      </c>
      <c r="D204" s="726"/>
      <c r="E204" s="753" t="s">
        <v>1494</v>
      </c>
      <c r="F204" s="126">
        <v>547</v>
      </c>
      <c r="G204" s="127">
        <v>0.1</v>
      </c>
      <c r="H204" s="140">
        <f t="shared" si="53"/>
        <v>601.70000000000005</v>
      </c>
      <c r="I204" s="141" t="s">
        <v>15</v>
      </c>
      <c r="J204" s="740">
        <f>J$197</f>
        <v>0</v>
      </c>
      <c r="K204" s="730">
        <f t="shared" si="54"/>
        <v>0</v>
      </c>
      <c r="L204" s="722"/>
      <c r="M204" s="749"/>
    </row>
    <row r="205" spans="1:13" s="394" customFormat="1" x14ac:dyDescent="0.2">
      <c r="A205" s="714">
        <f>IF(F205&lt;&gt;"",1+MAX($A$1:A204),"")</f>
        <v>123</v>
      </c>
      <c r="B205" s="141" t="s">
        <v>1491</v>
      </c>
      <c r="C205" s="141" t="s">
        <v>1495</v>
      </c>
      <c r="D205" s="726"/>
      <c r="E205" s="753" t="s">
        <v>1496</v>
      </c>
      <c r="F205" s="126">
        <f>1*547*0.668*1.2</f>
        <v>438.47520000000003</v>
      </c>
      <c r="G205" s="127">
        <v>0.1</v>
      </c>
      <c r="H205" s="140">
        <f t="shared" si="53"/>
        <v>482.32272000000006</v>
      </c>
      <c r="I205" s="141" t="s">
        <v>427</v>
      </c>
      <c r="J205" s="740">
        <f t="shared" ref="J205:J207" si="55">J$132</f>
        <v>0</v>
      </c>
      <c r="K205" s="730">
        <f t="shared" si="54"/>
        <v>0</v>
      </c>
      <c r="L205" s="722"/>
      <c r="M205" s="749"/>
    </row>
    <row r="206" spans="1:13" s="394" customFormat="1" x14ac:dyDescent="0.2">
      <c r="A206" s="714">
        <f>IF(F206&lt;&gt;"",1+MAX($A$1:A205),"")</f>
        <v>124</v>
      </c>
      <c r="B206" s="141" t="s">
        <v>1491</v>
      </c>
      <c r="C206" s="141" t="s">
        <v>1495</v>
      </c>
      <c r="D206" s="726"/>
      <c r="E206" s="753" t="s">
        <v>1497</v>
      </c>
      <c r="F206" s="126">
        <f>(2.17/2+1)*547*0.668*1.2</f>
        <v>914.22079199999996</v>
      </c>
      <c r="G206" s="127">
        <v>0.1</v>
      </c>
      <c r="H206" s="140">
        <f t="shared" si="53"/>
        <v>1005.6428712000001</v>
      </c>
      <c r="I206" s="141" t="s">
        <v>427</v>
      </c>
      <c r="J206" s="740">
        <f t="shared" si="55"/>
        <v>0</v>
      </c>
      <c r="K206" s="730">
        <f t="shared" si="54"/>
        <v>0</v>
      </c>
      <c r="L206" s="722"/>
      <c r="M206" s="749"/>
    </row>
    <row r="207" spans="1:13" s="394" customFormat="1" x14ac:dyDescent="0.2">
      <c r="A207" s="714">
        <f>IF(F207&lt;&gt;"",1+MAX($A$1:A206),"")</f>
        <v>125</v>
      </c>
      <c r="B207" s="141" t="s">
        <v>1491</v>
      </c>
      <c r="C207" s="141" t="s">
        <v>1495</v>
      </c>
      <c r="D207" s="726"/>
      <c r="E207" s="753" t="s">
        <v>1498</v>
      </c>
      <c r="F207" s="126">
        <f>(547/1.34+1)*4*0.668*1.2</f>
        <v>1312.0875940298508</v>
      </c>
      <c r="G207" s="127">
        <v>0.1</v>
      </c>
      <c r="H207" s="140">
        <f t="shared" si="53"/>
        <v>1443.296353432836</v>
      </c>
      <c r="I207" s="141" t="s">
        <v>427</v>
      </c>
      <c r="J207" s="740">
        <f t="shared" si="55"/>
        <v>0</v>
      </c>
      <c r="K207" s="730">
        <f t="shared" si="54"/>
        <v>0</v>
      </c>
      <c r="L207" s="722"/>
      <c r="M207" s="749"/>
    </row>
    <row r="208" spans="1:13" s="394" customFormat="1" x14ac:dyDescent="0.2">
      <c r="A208" s="714" t="str">
        <f>IF(F208&lt;&gt;"",1+MAX($A$1:A207),"")</f>
        <v/>
      </c>
      <c r="B208" s="141"/>
      <c r="C208" s="759"/>
      <c r="D208" s="726"/>
      <c r="E208" s="753"/>
      <c r="F208" s="126"/>
      <c r="G208" s="127"/>
      <c r="H208" s="140"/>
      <c r="I208" s="141"/>
      <c r="J208" s="141"/>
      <c r="K208" s="730"/>
      <c r="L208" s="722"/>
      <c r="M208" s="749"/>
    </row>
    <row r="209" spans="1:13" s="394" customFormat="1" ht="47.25" x14ac:dyDescent="0.2">
      <c r="A209" s="714" t="str">
        <f>IF(F209&lt;&gt;"",1+MAX($A$1:A208),"")</f>
        <v/>
      </c>
      <c r="B209" s="141"/>
      <c r="C209" s="759"/>
      <c r="D209" s="726"/>
      <c r="E209" s="751" t="s">
        <v>1500</v>
      </c>
      <c r="F209" s="126"/>
      <c r="G209" s="127"/>
      <c r="H209" s="140"/>
      <c r="I209" s="141"/>
      <c r="J209" s="141"/>
      <c r="K209" s="730"/>
      <c r="L209" s="722"/>
      <c r="M209" s="749"/>
    </row>
    <row r="210" spans="1:13" s="394" customFormat="1" x14ac:dyDescent="0.2">
      <c r="A210" s="714">
        <f>IF(F210&lt;&gt;"",1+MAX($A$1:A209),"")</f>
        <v>126</v>
      </c>
      <c r="B210" s="141" t="s">
        <v>1491</v>
      </c>
      <c r="C210" s="123" t="s">
        <v>1492</v>
      </c>
      <c r="D210" s="726"/>
      <c r="E210" s="753" t="s">
        <v>1493</v>
      </c>
      <c r="F210" s="126">
        <f>98*1.5</f>
        <v>147</v>
      </c>
      <c r="G210" s="127">
        <v>0.1</v>
      </c>
      <c r="H210" s="140">
        <f t="shared" ref="H210:H214" si="56">F210*(1+G210)</f>
        <v>161.70000000000002</v>
      </c>
      <c r="I210" s="141" t="s">
        <v>18</v>
      </c>
      <c r="J210" s="740">
        <f>J$196</f>
        <v>0</v>
      </c>
      <c r="K210" s="730">
        <f t="shared" ref="K210:K214" si="57">J210*H210</f>
        <v>0</v>
      </c>
      <c r="L210" s="722"/>
      <c r="M210" s="749"/>
    </row>
    <row r="211" spans="1:13" s="394" customFormat="1" x14ac:dyDescent="0.2">
      <c r="A211" s="714">
        <f>IF(F211&lt;&gt;"",1+MAX($A$1:A210),"")</f>
        <v>127</v>
      </c>
      <c r="B211" s="141" t="s">
        <v>1491</v>
      </c>
      <c r="C211" s="123" t="s">
        <v>1492</v>
      </c>
      <c r="D211" s="726"/>
      <c r="E211" s="753" t="s">
        <v>1494</v>
      </c>
      <c r="F211" s="126">
        <v>98</v>
      </c>
      <c r="G211" s="127">
        <v>0.1</v>
      </c>
      <c r="H211" s="140">
        <f t="shared" si="56"/>
        <v>107.80000000000001</v>
      </c>
      <c r="I211" s="141" t="s">
        <v>15</v>
      </c>
      <c r="J211" s="740">
        <f>J$197</f>
        <v>0</v>
      </c>
      <c r="K211" s="730">
        <f t="shared" si="57"/>
        <v>0</v>
      </c>
      <c r="L211" s="722"/>
      <c r="M211" s="749"/>
    </row>
    <row r="212" spans="1:13" s="394" customFormat="1" x14ac:dyDescent="0.2">
      <c r="A212" s="714">
        <f>IF(F212&lt;&gt;"",1+MAX($A$1:A211),"")</f>
        <v>128</v>
      </c>
      <c r="B212" s="141" t="s">
        <v>1491</v>
      </c>
      <c r="C212" s="141" t="s">
        <v>1495</v>
      </c>
      <c r="D212" s="726"/>
      <c r="E212" s="753" t="s">
        <v>1496</v>
      </c>
      <c r="F212" s="126">
        <f>1*98*0.668*1.2</f>
        <v>78.556799999999996</v>
      </c>
      <c r="G212" s="127">
        <v>0.1</v>
      </c>
      <c r="H212" s="140">
        <f t="shared" si="56"/>
        <v>86.412480000000002</v>
      </c>
      <c r="I212" s="141" t="s">
        <v>427</v>
      </c>
      <c r="J212" s="740">
        <f t="shared" ref="J212:J214" si="58">J$132</f>
        <v>0</v>
      </c>
      <c r="K212" s="730">
        <f t="shared" si="57"/>
        <v>0</v>
      </c>
      <c r="L212" s="722"/>
      <c r="M212" s="749"/>
    </row>
    <row r="213" spans="1:13" s="394" customFormat="1" x14ac:dyDescent="0.2">
      <c r="A213" s="714">
        <f>IF(F213&lt;&gt;"",1+MAX($A$1:A212),"")</f>
        <v>129</v>
      </c>
      <c r="B213" s="141" t="s">
        <v>1491</v>
      </c>
      <c r="C213" s="141" t="s">
        <v>1495</v>
      </c>
      <c r="D213" s="726"/>
      <c r="E213" s="753" t="s">
        <v>1497</v>
      </c>
      <c r="F213" s="126">
        <f>(1.5/2+1)*98*0.668*1.2</f>
        <v>137.4744</v>
      </c>
      <c r="G213" s="127">
        <v>0.1</v>
      </c>
      <c r="H213" s="140">
        <f t="shared" si="56"/>
        <v>151.22184000000001</v>
      </c>
      <c r="I213" s="141" t="s">
        <v>427</v>
      </c>
      <c r="J213" s="740">
        <f t="shared" si="58"/>
        <v>0</v>
      </c>
      <c r="K213" s="730">
        <f t="shared" si="57"/>
        <v>0</v>
      </c>
      <c r="L213" s="722"/>
      <c r="M213" s="749"/>
    </row>
    <row r="214" spans="1:13" s="394" customFormat="1" x14ac:dyDescent="0.2">
      <c r="A214" s="714">
        <f>IF(F214&lt;&gt;"",1+MAX($A$1:A213),"")</f>
        <v>130</v>
      </c>
      <c r="B214" s="141" t="s">
        <v>1491</v>
      </c>
      <c r="C214" s="141" t="s">
        <v>1495</v>
      </c>
      <c r="D214" s="726"/>
      <c r="E214" s="753" t="s">
        <v>1498</v>
      </c>
      <c r="F214" s="126">
        <f>(98/1.34+1)*3*0.668*1.2</f>
        <v>178.27823283582086</v>
      </c>
      <c r="G214" s="127">
        <v>0.1</v>
      </c>
      <c r="H214" s="140">
        <f t="shared" si="56"/>
        <v>196.10605611940295</v>
      </c>
      <c r="I214" s="141" t="s">
        <v>427</v>
      </c>
      <c r="J214" s="740">
        <f t="shared" si="58"/>
        <v>0</v>
      </c>
      <c r="K214" s="730">
        <f t="shared" si="57"/>
        <v>0</v>
      </c>
      <c r="L214" s="722"/>
      <c r="M214" s="749"/>
    </row>
    <row r="215" spans="1:13" s="394" customFormat="1" x14ac:dyDescent="0.2">
      <c r="A215" s="714" t="str">
        <f>IF(F215&lt;&gt;"",1+MAX($A$1:A214),"")</f>
        <v/>
      </c>
      <c r="B215" s="141"/>
      <c r="C215" s="759"/>
      <c r="D215" s="726"/>
      <c r="E215" s="753"/>
      <c r="F215" s="126"/>
      <c r="G215" s="127"/>
      <c r="H215" s="140"/>
      <c r="I215" s="141"/>
      <c r="J215" s="141"/>
      <c r="K215" s="730"/>
      <c r="L215" s="722"/>
      <c r="M215" s="749"/>
    </row>
    <row r="216" spans="1:13" s="394" customFormat="1" ht="78.75" x14ac:dyDescent="0.2">
      <c r="A216" s="714">
        <f>IF(F216&lt;&gt;"",1+MAX($A$1:A215),"")</f>
        <v>131</v>
      </c>
      <c r="B216" s="141" t="s">
        <v>1443</v>
      </c>
      <c r="C216" s="123" t="s">
        <v>1501</v>
      </c>
      <c r="D216" s="747">
        <f>0.67*1*F216/27</f>
        <v>16.379018518518517</v>
      </c>
      <c r="E216" s="748" t="s">
        <v>1502</v>
      </c>
      <c r="F216" s="139">
        <f>660.05</f>
        <v>660.05</v>
      </c>
      <c r="G216" s="127">
        <v>0.1</v>
      </c>
      <c r="H216" s="140">
        <f>F216*(1+G216)</f>
        <v>726.05500000000006</v>
      </c>
      <c r="I216" s="141" t="s">
        <v>15</v>
      </c>
      <c r="J216" s="729">
        <v>0</v>
      </c>
      <c r="K216" s="730">
        <f>J216*H216</f>
        <v>0</v>
      </c>
      <c r="L216" s="722"/>
      <c r="M216" s="749"/>
    </row>
    <row r="217" spans="1:13" s="394" customFormat="1" x14ac:dyDescent="0.2">
      <c r="A217" s="714">
        <f>IF(F217&lt;&gt;"",1+MAX($A$1:A216),"")</f>
        <v>132</v>
      </c>
      <c r="B217" s="141" t="s">
        <v>1491</v>
      </c>
      <c r="C217" s="141" t="s">
        <v>1495</v>
      </c>
      <c r="D217" s="726"/>
      <c r="E217" s="753" t="s">
        <v>1503</v>
      </c>
      <c r="F217" s="126">
        <f>2*F216*0.668*1.2</f>
        <v>1058.1921599999998</v>
      </c>
      <c r="G217" s="127">
        <v>0.1</v>
      </c>
      <c r="H217" s="140">
        <f>F217*(1+G217)</f>
        <v>1164.0113759999999</v>
      </c>
      <c r="I217" s="141" t="s">
        <v>427</v>
      </c>
      <c r="J217" s="740">
        <f>J$132</f>
        <v>0</v>
      </c>
      <c r="K217" s="730">
        <f>J217*H217</f>
        <v>0</v>
      </c>
      <c r="L217" s="722"/>
      <c r="M217" s="749"/>
    </row>
    <row r="218" spans="1:13" ht="16.5" thickBot="1" x14ac:dyDescent="0.25">
      <c r="A218" s="714" t="str">
        <f>IF(F218&lt;&gt;"",1+MAX($A$1:A217),"")</f>
        <v/>
      </c>
      <c r="B218" s="141"/>
      <c r="C218" s="723"/>
      <c r="D218" s="368"/>
      <c r="E218" s="813"/>
      <c r="F218" s="573"/>
      <c r="G218" s="574"/>
      <c r="H218" s="573"/>
      <c r="I218" s="575"/>
      <c r="J218" s="741"/>
      <c r="K218" s="577"/>
      <c r="L218" s="578"/>
    </row>
    <row r="219" spans="1:13" ht="16.5" thickBot="1" x14ac:dyDescent="0.25">
      <c r="A219" s="714" t="str">
        <f>IF(F219&lt;&gt;"",1+MAX($A$1:A218),"")</f>
        <v/>
      </c>
      <c r="B219" s="726"/>
      <c r="C219" s="726"/>
      <c r="D219" s="370"/>
      <c r="E219" s="742" t="s">
        <v>1504</v>
      </c>
      <c r="F219" s="738"/>
      <c r="G219" s="743"/>
      <c r="H219" s="128"/>
      <c r="I219" s="129"/>
      <c r="J219" s="744"/>
      <c r="K219" s="69"/>
      <c r="L219" s="49">
        <f>SUM(K195:K218)</f>
        <v>0</v>
      </c>
      <c r="M219" s="745"/>
    </row>
    <row r="220" spans="1:13" s="394" customFormat="1" ht="16.5" thickBot="1" x14ac:dyDescent="0.25">
      <c r="A220" s="714" t="str">
        <f>IF(F220&lt;&gt;"",1+MAX($A$1:A219),"")</f>
        <v/>
      </c>
      <c r="B220" s="141"/>
      <c r="C220" s="123"/>
      <c r="D220" s="726"/>
      <c r="E220" s="750"/>
      <c r="F220" s="638"/>
      <c r="G220" s="436"/>
      <c r="H220" s="140"/>
      <c r="I220" s="141"/>
      <c r="J220" s="731"/>
      <c r="K220" s="730"/>
      <c r="L220" s="722"/>
      <c r="M220" s="706"/>
    </row>
    <row r="221" spans="1:13" ht="16.5" thickBot="1" x14ac:dyDescent="0.25">
      <c r="A221" s="714" t="str">
        <f>IF(F221&lt;&gt;"",1+MAX($A$1:A220),"")</f>
        <v/>
      </c>
      <c r="B221" s="141"/>
      <c r="C221" s="123"/>
      <c r="D221" s="370"/>
      <c r="E221" s="561" t="s">
        <v>1505</v>
      </c>
      <c r="F221" s="537"/>
      <c r="G221" s="718"/>
      <c r="H221" s="719"/>
      <c r="I221" s="720"/>
      <c r="J221" s="721"/>
      <c r="K221" s="811"/>
      <c r="L221" s="722"/>
    </row>
    <row r="222" spans="1:13" s="394" customFormat="1" x14ac:dyDescent="0.2">
      <c r="A222" s="714" t="str">
        <f>IF(F222&lt;&gt;"",1+MAX($A$1:A221),"")</f>
        <v/>
      </c>
      <c r="B222" s="141"/>
      <c r="C222" s="123"/>
      <c r="D222" s="726"/>
      <c r="E222" s="760" t="s">
        <v>1506</v>
      </c>
      <c r="F222" s="638"/>
      <c r="G222" s="436"/>
      <c r="H222" s="140"/>
      <c r="I222" s="141"/>
      <c r="J222" s="731"/>
      <c r="K222" s="730"/>
      <c r="L222" s="722"/>
      <c r="M222" s="706"/>
    </row>
    <row r="223" spans="1:13" s="394" customFormat="1" ht="78.75" x14ac:dyDescent="0.2">
      <c r="A223" s="714">
        <f>IF(F223&lt;&gt;"",1+MAX($A$1:A222),"")</f>
        <v>133</v>
      </c>
      <c r="B223" s="141" t="s">
        <v>1507</v>
      </c>
      <c r="C223" s="123" t="s">
        <v>1508</v>
      </c>
      <c r="D223" s="726"/>
      <c r="E223" s="748" t="s">
        <v>1509</v>
      </c>
      <c r="F223" s="728">
        <v>11.67</v>
      </c>
      <c r="G223" s="127">
        <v>0.1</v>
      </c>
      <c r="H223" s="140">
        <f t="shared" ref="H223:H247" si="59">F223*(1+G223)</f>
        <v>12.837000000000002</v>
      </c>
      <c r="I223" s="141" t="s">
        <v>15</v>
      </c>
      <c r="J223" s="729">
        <v>0</v>
      </c>
      <c r="K223" s="730">
        <f t="shared" ref="K223:K247" si="60">J223*H223</f>
        <v>0</v>
      </c>
      <c r="L223" s="722"/>
      <c r="M223" s="749"/>
    </row>
    <row r="224" spans="1:13" s="394" customFormat="1" x14ac:dyDescent="0.2">
      <c r="A224" s="714">
        <f>IF(F224&lt;&gt;"",1+MAX($A$1:A223),"")</f>
        <v>134</v>
      </c>
      <c r="B224" s="141" t="s">
        <v>1507</v>
      </c>
      <c r="C224" s="123" t="s">
        <v>1508</v>
      </c>
      <c r="D224" s="726"/>
      <c r="E224" s="748" t="s">
        <v>1832</v>
      </c>
      <c r="F224" s="728">
        <f>1*F223*0.668*1.2</f>
        <v>9.354671999999999</v>
      </c>
      <c r="G224" s="127">
        <v>0.1</v>
      </c>
      <c r="H224" s="140">
        <f t="shared" si="59"/>
        <v>10.2901392</v>
      </c>
      <c r="I224" s="141" t="s">
        <v>427</v>
      </c>
      <c r="J224" s="740">
        <f>J$132</f>
        <v>0</v>
      </c>
      <c r="K224" s="730">
        <f t="shared" si="60"/>
        <v>0</v>
      </c>
      <c r="L224" s="722"/>
      <c r="M224" s="749"/>
    </row>
    <row r="225" spans="1:13" s="394" customFormat="1" x14ac:dyDescent="0.2">
      <c r="A225" s="714" t="str">
        <f>IF(F225&lt;&gt;"",1+MAX($A$1:A224),"")</f>
        <v/>
      </c>
      <c r="B225" s="141"/>
      <c r="C225" s="123"/>
      <c r="D225" s="726"/>
      <c r="E225" s="748"/>
      <c r="F225" s="139"/>
      <c r="G225" s="127"/>
      <c r="H225" s="140"/>
      <c r="I225" s="141"/>
      <c r="J225" s="141"/>
      <c r="K225" s="730"/>
      <c r="L225" s="722"/>
      <c r="M225" s="749"/>
    </row>
    <row r="226" spans="1:13" s="394" customFormat="1" ht="63" x14ac:dyDescent="0.2">
      <c r="A226" s="714">
        <f>IF(F226&lt;&gt;"",1+MAX($A$1:A225),"")</f>
        <v>135</v>
      </c>
      <c r="B226" s="141" t="s">
        <v>1443</v>
      </c>
      <c r="C226" s="123" t="s">
        <v>1510</v>
      </c>
      <c r="D226" s="726"/>
      <c r="E226" s="748" t="s">
        <v>1511</v>
      </c>
      <c r="F226" s="139">
        <v>19.190000000000001</v>
      </c>
      <c r="G226" s="127">
        <v>0.1</v>
      </c>
      <c r="H226" s="140">
        <f t="shared" si="59"/>
        <v>21.109000000000002</v>
      </c>
      <c r="I226" s="141" t="s">
        <v>15</v>
      </c>
      <c r="J226" s="729">
        <v>0</v>
      </c>
      <c r="K226" s="730">
        <f t="shared" si="60"/>
        <v>0</v>
      </c>
      <c r="L226" s="722"/>
      <c r="M226" s="749"/>
    </row>
    <row r="227" spans="1:13" s="394" customFormat="1" x14ac:dyDescent="0.2">
      <c r="A227" s="714">
        <f>IF(F227&lt;&gt;"",1+MAX($A$1:A226),"")</f>
        <v>136</v>
      </c>
      <c r="B227" s="141" t="s">
        <v>1507</v>
      </c>
      <c r="C227" s="123" t="s">
        <v>1510</v>
      </c>
      <c r="D227" s="726"/>
      <c r="E227" s="748" t="s">
        <v>1027</v>
      </c>
      <c r="F227" s="761">
        <f>0.42*1.5*1*8/27</f>
        <v>0.18666666666666668</v>
      </c>
      <c r="G227" s="127">
        <v>0.1</v>
      </c>
      <c r="H227" s="140">
        <f t="shared" si="59"/>
        <v>0.20533333333333337</v>
      </c>
      <c r="I227" s="141" t="s">
        <v>1028</v>
      </c>
      <c r="J227" s="729">
        <v>0</v>
      </c>
      <c r="K227" s="730">
        <f t="shared" si="60"/>
        <v>0</v>
      </c>
      <c r="L227" s="722"/>
      <c r="M227" s="749"/>
    </row>
    <row r="228" spans="1:13" s="394" customFormat="1" ht="31.5" x14ac:dyDescent="0.2">
      <c r="A228" s="714">
        <f>IF(F228&lt;&gt;"",1+MAX($A$1:A227),"")</f>
        <v>137</v>
      </c>
      <c r="B228" s="141" t="s">
        <v>1507</v>
      </c>
      <c r="C228" s="123" t="s">
        <v>1510</v>
      </c>
      <c r="D228" s="726"/>
      <c r="E228" s="748" t="s">
        <v>1512</v>
      </c>
      <c r="F228" s="728">
        <f>2*3*0.668*1.2*8</f>
        <v>38.476799999999997</v>
      </c>
      <c r="G228" s="127">
        <v>0.1</v>
      </c>
      <c r="H228" s="140">
        <f t="shared" si="59"/>
        <v>42.324480000000001</v>
      </c>
      <c r="I228" s="141" t="s">
        <v>427</v>
      </c>
      <c r="J228" s="740">
        <f>J$132</f>
        <v>0</v>
      </c>
      <c r="K228" s="730">
        <f t="shared" si="60"/>
        <v>0</v>
      </c>
      <c r="L228" s="722"/>
      <c r="M228" s="749"/>
    </row>
    <row r="229" spans="1:13" s="394" customFormat="1" x14ac:dyDescent="0.2">
      <c r="A229" s="714" t="str">
        <f>IF(F229&lt;&gt;"",1+MAX($A$1:A228),"")</f>
        <v/>
      </c>
      <c r="B229" s="141"/>
      <c r="C229" s="123"/>
      <c r="D229" s="726"/>
      <c r="E229" s="748"/>
      <c r="F229" s="139"/>
      <c r="G229" s="127"/>
      <c r="H229" s="140"/>
      <c r="I229" s="141"/>
      <c r="J229" s="141"/>
      <c r="K229" s="730"/>
      <c r="L229" s="722"/>
      <c r="M229" s="749"/>
    </row>
    <row r="230" spans="1:13" s="394" customFormat="1" x14ac:dyDescent="0.2">
      <c r="A230" s="714" t="str">
        <f>IF(F230&lt;&gt;"",1+MAX($A$1:A229),"")</f>
        <v/>
      </c>
      <c r="B230" s="141"/>
      <c r="C230" s="123"/>
      <c r="D230" s="726"/>
      <c r="E230" s="760" t="s">
        <v>1513</v>
      </c>
      <c r="F230" s="638"/>
      <c r="G230" s="436"/>
      <c r="H230" s="140"/>
      <c r="I230" s="141"/>
      <c r="J230" s="731"/>
      <c r="K230" s="730"/>
      <c r="L230" s="722"/>
      <c r="M230" s="706"/>
    </row>
    <row r="231" spans="1:13" s="394" customFormat="1" ht="47.25" x14ac:dyDescent="0.2">
      <c r="A231" s="714">
        <f>IF(F231&lt;&gt;"",1+MAX($A$1:A230),"")</f>
        <v>138</v>
      </c>
      <c r="B231" s="141" t="s">
        <v>1443</v>
      </c>
      <c r="C231" s="123" t="s">
        <v>1514</v>
      </c>
      <c r="D231" s="726"/>
      <c r="E231" s="748" t="s">
        <v>1515</v>
      </c>
      <c r="F231" s="728">
        <v>3</v>
      </c>
      <c r="G231" s="127">
        <v>0</v>
      </c>
      <c r="H231" s="140">
        <f t="shared" si="59"/>
        <v>3</v>
      </c>
      <c r="I231" s="141" t="s">
        <v>20</v>
      </c>
      <c r="J231" s="729">
        <v>0</v>
      </c>
      <c r="K231" s="730">
        <f t="shared" si="60"/>
        <v>0</v>
      </c>
      <c r="L231" s="722"/>
      <c r="M231" s="749"/>
    </row>
    <row r="232" spans="1:13" s="394" customFormat="1" x14ac:dyDescent="0.2">
      <c r="A232" s="714" t="str">
        <f>IF(F232&lt;&gt;"",1+MAX($A$1:A231),"")</f>
        <v/>
      </c>
      <c r="B232" s="141"/>
      <c r="C232" s="123"/>
      <c r="D232" s="726"/>
      <c r="E232" s="748"/>
      <c r="F232" s="139"/>
      <c r="G232" s="127"/>
      <c r="H232" s="140"/>
      <c r="I232" s="141"/>
      <c r="J232" s="141"/>
      <c r="K232" s="730"/>
      <c r="L232" s="722"/>
      <c r="M232" s="749"/>
    </row>
    <row r="233" spans="1:13" s="394" customFormat="1" x14ac:dyDescent="0.2">
      <c r="A233" s="714" t="str">
        <f>IF(F233&lt;&gt;"",1+MAX($A$1:A232),"")</f>
        <v/>
      </c>
      <c r="B233" s="141"/>
      <c r="C233" s="123"/>
      <c r="D233" s="726"/>
      <c r="E233" s="760" t="s">
        <v>1516</v>
      </c>
      <c r="F233" s="638"/>
      <c r="G233" s="436"/>
      <c r="H233" s="140"/>
      <c r="I233" s="141"/>
      <c r="J233" s="731"/>
      <c r="K233" s="730"/>
      <c r="L233" s="722"/>
      <c r="M233" s="706"/>
    </row>
    <row r="234" spans="1:13" s="394" customFormat="1" ht="63" x14ac:dyDescent="0.2">
      <c r="A234" s="714">
        <f>IF(F234&lt;&gt;"",1+MAX($A$1:A233),"")</f>
        <v>139</v>
      </c>
      <c r="B234" s="141" t="s">
        <v>1507</v>
      </c>
      <c r="C234" s="123" t="s">
        <v>1517</v>
      </c>
      <c r="D234" s="726"/>
      <c r="E234" s="748" t="s">
        <v>1518</v>
      </c>
      <c r="F234" s="728">
        <v>2</v>
      </c>
      <c r="G234" s="127">
        <v>0</v>
      </c>
      <c r="H234" s="140">
        <f t="shared" si="59"/>
        <v>2</v>
      </c>
      <c r="I234" s="141" t="s">
        <v>20</v>
      </c>
      <c r="J234" s="729">
        <v>0</v>
      </c>
      <c r="K234" s="730">
        <f t="shared" si="60"/>
        <v>0</v>
      </c>
      <c r="L234" s="722"/>
      <c r="M234" s="749"/>
    </row>
    <row r="235" spans="1:13" s="394" customFormat="1" x14ac:dyDescent="0.2">
      <c r="A235" s="714">
        <f>IF(F235&lt;&gt;"",1+MAX($A$1:A234),"")</f>
        <v>140</v>
      </c>
      <c r="B235" s="141" t="s">
        <v>1507</v>
      </c>
      <c r="C235" s="123" t="s">
        <v>1510</v>
      </c>
      <c r="D235" s="726"/>
      <c r="E235" s="748" t="s">
        <v>1519</v>
      </c>
      <c r="F235" s="761">
        <f>9*2.5*F234/27</f>
        <v>1.6666666666666667</v>
      </c>
      <c r="G235" s="127">
        <v>0.1</v>
      </c>
      <c r="H235" s="140">
        <f t="shared" si="59"/>
        <v>1.8333333333333335</v>
      </c>
      <c r="I235" s="141" t="s">
        <v>1028</v>
      </c>
      <c r="J235" s="729">
        <v>0</v>
      </c>
      <c r="K235" s="730">
        <f t="shared" si="60"/>
        <v>0</v>
      </c>
      <c r="L235" s="722"/>
      <c r="M235" s="749"/>
    </row>
    <row r="236" spans="1:13" s="394" customFormat="1" x14ac:dyDescent="0.2">
      <c r="A236" s="714">
        <f>IF(F236&lt;&gt;"",1+MAX($A$1:A235),"")</f>
        <v>141</v>
      </c>
      <c r="B236" s="141" t="s">
        <v>1507</v>
      </c>
      <c r="C236" s="123" t="s">
        <v>1510</v>
      </c>
      <c r="D236" s="726"/>
      <c r="E236" s="748" t="s">
        <v>1520</v>
      </c>
      <c r="F236" s="761">
        <f>9*0.34*F234/27</f>
        <v>0.22666666666666668</v>
      </c>
      <c r="G236" s="127">
        <v>0.1</v>
      </c>
      <c r="H236" s="140">
        <f t="shared" si="59"/>
        <v>0.24933333333333338</v>
      </c>
      <c r="I236" s="141" t="s">
        <v>1028</v>
      </c>
      <c r="J236" s="729">
        <v>0</v>
      </c>
      <c r="K236" s="730">
        <f t="shared" si="60"/>
        <v>0</v>
      </c>
      <c r="L236" s="722"/>
      <c r="M236" s="749"/>
    </row>
    <row r="237" spans="1:13" s="394" customFormat="1" x14ac:dyDescent="0.2">
      <c r="A237" s="714" t="str">
        <f>IF(F237&lt;&gt;"",1+MAX($A$1:A236),"")</f>
        <v/>
      </c>
      <c r="B237" s="141"/>
      <c r="C237" s="123"/>
      <c r="D237" s="726"/>
      <c r="E237" s="748"/>
      <c r="F237" s="139"/>
      <c r="G237" s="127"/>
      <c r="H237" s="140"/>
      <c r="I237" s="141"/>
      <c r="J237" s="141"/>
      <c r="K237" s="730"/>
      <c r="L237" s="722"/>
      <c r="M237" s="749"/>
    </row>
    <row r="238" spans="1:13" s="394" customFormat="1" x14ac:dyDescent="0.2">
      <c r="A238" s="714" t="str">
        <f>IF(F238&lt;&gt;"",1+MAX($A$1:A237),"")</f>
        <v/>
      </c>
      <c r="B238" s="141"/>
      <c r="C238" s="123"/>
      <c r="D238" s="726"/>
      <c r="E238" s="760" t="s">
        <v>1521</v>
      </c>
      <c r="F238" s="728"/>
      <c r="G238" s="436"/>
      <c r="H238" s="140"/>
      <c r="I238" s="141"/>
      <c r="J238" s="731"/>
      <c r="K238" s="730"/>
      <c r="L238" s="722"/>
      <c r="M238" s="706"/>
    </row>
    <row r="239" spans="1:13" s="394" customFormat="1" ht="78.75" x14ac:dyDescent="0.2">
      <c r="A239" s="714">
        <f>IF(F239&lt;&gt;"",1+MAX($A$1:A238),"")</f>
        <v>142</v>
      </c>
      <c r="B239" s="141" t="s">
        <v>1443</v>
      </c>
      <c r="C239" s="123" t="s">
        <v>1522</v>
      </c>
      <c r="D239" s="726"/>
      <c r="E239" s="748" t="s">
        <v>1523</v>
      </c>
      <c r="F239" s="728">
        <v>1</v>
      </c>
      <c r="G239" s="127">
        <v>0</v>
      </c>
      <c r="H239" s="140">
        <f t="shared" si="59"/>
        <v>1</v>
      </c>
      <c r="I239" s="141" t="s">
        <v>20</v>
      </c>
      <c r="J239" s="729">
        <v>0</v>
      </c>
      <c r="K239" s="730">
        <f t="shared" si="60"/>
        <v>0</v>
      </c>
      <c r="L239" s="722"/>
      <c r="M239" s="749"/>
    </row>
    <row r="240" spans="1:13" s="394" customFormat="1" ht="78.75" x14ac:dyDescent="0.2">
      <c r="A240" s="714">
        <f>IF(F240&lt;&gt;"",1+MAX($A$1:A239),"")</f>
        <v>143</v>
      </c>
      <c r="B240" s="141" t="s">
        <v>1443</v>
      </c>
      <c r="C240" s="123" t="s">
        <v>1522</v>
      </c>
      <c r="D240" s="726"/>
      <c r="E240" s="748" t="s">
        <v>1524</v>
      </c>
      <c r="F240" s="139">
        <v>1</v>
      </c>
      <c r="G240" s="127">
        <v>0</v>
      </c>
      <c r="H240" s="140">
        <f t="shared" si="59"/>
        <v>1</v>
      </c>
      <c r="I240" s="141" t="s">
        <v>20</v>
      </c>
      <c r="J240" s="729">
        <v>0</v>
      </c>
      <c r="K240" s="730">
        <f t="shared" si="60"/>
        <v>0</v>
      </c>
      <c r="L240" s="722"/>
      <c r="M240" s="749"/>
    </row>
    <row r="241" spans="1:13" s="394" customFormat="1" x14ac:dyDescent="0.2">
      <c r="A241" s="714" t="str">
        <f>IF(F241&lt;&gt;"",1+MAX($A$1:A240),"")</f>
        <v/>
      </c>
      <c r="B241" s="141"/>
      <c r="C241" s="123"/>
      <c r="D241" s="726"/>
      <c r="E241" s="748"/>
      <c r="F241" s="139"/>
      <c r="G241" s="127"/>
      <c r="H241" s="140"/>
      <c r="I241" s="141"/>
      <c r="J241" s="731"/>
      <c r="K241" s="730"/>
      <c r="L241" s="722"/>
      <c r="M241" s="749"/>
    </row>
    <row r="242" spans="1:13" s="394" customFormat="1" x14ac:dyDescent="0.2">
      <c r="A242" s="714" t="str">
        <f>IF(F242&lt;&gt;"",1+MAX($A$1:A241),"")</f>
        <v/>
      </c>
      <c r="B242" s="141"/>
      <c r="C242" s="123"/>
      <c r="D242" s="726"/>
      <c r="E242" s="760" t="s">
        <v>1525</v>
      </c>
      <c r="F242" s="638"/>
      <c r="G242" s="436"/>
      <c r="H242" s="140"/>
      <c r="I242" s="141"/>
      <c r="J242" s="731"/>
      <c r="K242" s="730"/>
      <c r="L242" s="722"/>
      <c r="M242" s="706"/>
    </row>
    <row r="243" spans="1:13" s="394" customFormat="1" ht="47.25" x14ac:dyDescent="0.2">
      <c r="A243" s="714">
        <f>IF(F243&lt;&gt;"",1+MAX($A$1:A242),"")</f>
        <v>144</v>
      </c>
      <c r="B243" s="141" t="s">
        <v>1507</v>
      </c>
      <c r="C243" s="123" t="s">
        <v>1514</v>
      </c>
      <c r="D243" s="726"/>
      <c r="E243" s="748" t="s">
        <v>1526</v>
      </c>
      <c r="F243" s="728">
        <v>2</v>
      </c>
      <c r="G243" s="127">
        <v>0</v>
      </c>
      <c r="H243" s="140">
        <f t="shared" si="59"/>
        <v>2</v>
      </c>
      <c r="I243" s="141" t="s">
        <v>20</v>
      </c>
      <c r="J243" s="729">
        <v>0</v>
      </c>
      <c r="K243" s="730">
        <f t="shared" si="60"/>
        <v>0</v>
      </c>
      <c r="L243" s="722"/>
      <c r="M243" s="749"/>
    </row>
    <row r="244" spans="1:13" s="394" customFormat="1" ht="47.25" x14ac:dyDescent="0.2">
      <c r="A244" s="714">
        <f>IF(F244&lt;&gt;"",1+MAX($A$1:A243),"")</f>
        <v>145</v>
      </c>
      <c r="B244" s="141" t="s">
        <v>1443</v>
      </c>
      <c r="C244" s="123" t="s">
        <v>1514</v>
      </c>
      <c r="D244" s="726"/>
      <c r="E244" s="748" t="s">
        <v>1527</v>
      </c>
      <c r="F244" s="139">
        <v>1</v>
      </c>
      <c r="G244" s="127">
        <v>0</v>
      </c>
      <c r="H244" s="140">
        <f t="shared" si="59"/>
        <v>1</v>
      </c>
      <c r="I244" s="141" t="s">
        <v>20</v>
      </c>
      <c r="J244" s="729">
        <v>0</v>
      </c>
      <c r="K244" s="730">
        <f t="shared" si="60"/>
        <v>0</v>
      </c>
      <c r="L244" s="722"/>
      <c r="M244" s="749"/>
    </row>
    <row r="245" spans="1:13" s="394" customFormat="1" x14ac:dyDescent="0.2">
      <c r="A245" s="714" t="str">
        <f>IF(F245&lt;&gt;"",1+MAX($A$1:A244),"")</f>
        <v/>
      </c>
      <c r="B245" s="141"/>
      <c r="C245" s="123"/>
      <c r="D245" s="726"/>
      <c r="E245" s="748"/>
      <c r="F245" s="139"/>
      <c r="G245" s="127"/>
      <c r="H245" s="140"/>
      <c r="I245" s="141"/>
      <c r="J245" s="731"/>
      <c r="K245" s="730"/>
      <c r="L245" s="722"/>
      <c r="M245" s="749"/>
    </row>
    <row r="246" spans="1:13" s="394" customFormat="1" x14ac:dyDescent="0.2">
      <c r="A246" s="714" t="str">
        <f>IF(F246&lt;&gt;"",1+MAX($A$1:A245),"")</f>
        <v/>
      </c>
      <c r="B246" s="141"/>
      <c r="C246" s="123"/>
      <c r="D246" s="726"/>
      <c r="E246" s="760" t="s">
        <v>1528</v>
      </c>
      <c r="F246" s="638"/>
      <c r="G246" s="436"/>
      <c r="H246" s="140"/>
      <c r="I246" s="141"/>
      <c r="J246" s="731"/>
      <c r="K246" s="730"/>
      <c r="L246" s="722"/>
      <c r="M246" s="706"/>
    </row>
    <row r="247" spans="1:13" s="394" customFormat="1" ht="173.25" x14ac:dyDescent="0.2">
      <c r="A247" s="714">
        <f>IF(F247&lt;&gt;"",1+MAX($A$1:A246),"")</f>
        <v>146</v>
      </c>
      <c r="B247" s="141" t="s">
        <v>1443</v>
      </c>
      <c r="C247" s="123" t="s">
        <v>1529</v>
      </c>
      <c r="D247" s="726"/>
      <c r="E247" s="748" t="s">
        <v>1530</v>
      </c>
      <c r="F247" s="728">
        <v>151</v>
      </c>
      <c r="G247" s="127">
        <v>0.1</v>
      </c>
      <c r="H247" s="140">
        <f t="shared" si="59"/>
        <v>166.10000000000002</v>
      </c>
      <c r="I247" s="141" t="s">
        <v>18</v>
      </c>
      <c r="J247" s="729">
        <v>0</v>
      </c>
      <c r="K247" s="730">
        <f t="shared" si="60"/>
        <v>0</v>
      </c>
      <c r="L247" s="722"/>
      <c r="M247" s="749"/>
    </row>
    <row r="248" spans="1:13" s="394" customFormat="1" x14ac:dyDescent="0.2">
      <c r="A248" s="714" t="str">
        <f>IF(F248&lt;&gt;"",1+MAX($A$1:A247),"")</f>
        <v/>
      </c>
      <c r="B248" s="141"/>
      <c r="C248" s="123"/>
      <c r="D248" s="726"/>
      <c r="E248" s="750"/>
      <c r="F248" s="638"/>
      <c r="G248" s="436"/>
      <c r="H248" s="140"/>
      <c r="I248" s="141"/>
      <c r="J248" s="731"/>
      <c r="K248" s="730"/>
      <c r="L248" s="722"/>
      <c r="M248" s="706"/>
    </row>
    <row r="249" spans="1:13" s="394" customFormat="1" x14ac:dyDescent="0.2">
      <c r="A249" s="714" t="str">
        <f>IF(F249&lt;&gt;"",1+MAX($A$1:A248),"")</f>
        <v/>
      </c>
      <c r="B249" s="141"/>
      <c r="C249" s="123"/>
      <c r="D249" s="726"/>
      <c r="E249" s="760" t="s">
        <v>1531</v>
      </c>
      <c r="F249" s="728"/>
      <c r="G249" s="436"/>
      <c r="H249" s="140"/>
      <c r="I249" s="141"/>
      <c r="J249" s="731"/>
      <c r="K249" s="730"/>
      <c r="L249" s="722"/>
      <c r="M249" s="706"/>
    </row>
    <row r="250" spans="1:13" s="394" customFormat="1" ht="47.25" x14ac:dyDescent="0.2">
      <c r="A250" s="714">
        <f>IF(F250&lt;&gt;"",1+MAX($A$1:A249),"")</f>
        <v>147</v>
      </c>
      <c r="B250" s="141" t="s">
        <v>1443</v>
      </c>
      <c r="C250" s="123" t="s">
        <v>1486</v>
      </c>
      <c r="D250" s="726"/>
      <c r="E250" s="748" t="s">
        <v>1532</v>
      </c>
      <c r="F250" s="728">
        <v>2</v>
      </c>
      <c r="G250" s="127">
        <v>0</v>
      </c>
      <c r="H250" s="140">
        <f t="shared" ref="H250:H255" si="61">F250*(1+G250)</f>
        <v>2</v>
      </c>
      <c r="I250" s="141" t="s">
        <v>20</v>
      </c>
      <c r="J250" s="729">
        <v>0</v>
      </c>
      <c r="K250" s="730">
        <f t="shared" ref="K250:K255" si="62">J250*H250</f>
        <v>0</v>
      </c>
      <c r="L250" s="722"/>
      <c r="M250" s="749"/>
    </row>
    <row r="251" spans="1:13" s="394" customFormat="1" x14ac:dyDescent="0.2">
      <c r="A251" s="714" t="str">
        <f>IF(F251&lt;&gt;"",1+MAX($A$1:A250),"")</f>
        <v/>
      </c>
      <c r="B251" s="141"/>
      <c r="C251" s="123"/>
      <c r="D251" s="726"/>
      <c r="E251" s="750"/>
      <c r="F251" s="728"/>
      <c r="G251" s="436"/>
      <c r="H251" s="140"/>
      <c r="I251" s="141"/>
      <c r="J251" s="731"/>
      <c r="K251" s="730"/>
      <c r="L251" s="722"/>
      <c r="M251" s="706"/>
    </row>
    <row r="252" spans="1:13" s="394" customFormat="1" x14ac:dyDescent="0.2">
      <c r="A252" s="714" t="str">
        <f>IF(F252&lt;&gt;"",1+MAX($A$1:A251),"")</f>
        <v/>
      </c>
      <c r="B252" s="141"/>
      <c r="C252" s="123"/>
      <c r="D252" s="726"/>
      <c r="E252" s="760" t="s">
        <v>1533</v>
      </c>
      <c r="F252" s="728"/>
      <c r="G252" s="436"/>
      <c r="H252" s="140"/>
      <c r="I252" s="141"/>
      <c r="J252" s="731"/>
      <c r="K252" s="730"/>
      <c r="L252" s="722"/>
      <c r="M252" s="706"/>
    </row>
    <row r="253" spans="1:13" s="394" customFormat="1" ht="47.25" x14ac:dyDescent="0.2">
      <c r="A253" s="714">
        <f>IF(F253&lt;&gt;"",1+MAX($A$1:A252),"")</f>
        <v>148</v>
      </c>
      <c r="B253" s="141" t="s">
        <v>1485</v>
      </c>
      <c r="C253" s="123" t="s">
        <v>1534</v>
      </c>
      <c r="D253" s="726"/>
      <c r="E253" s="748" t="s">
        <v>1535</v>
      </c>
      <c r="F253" s="728">
        <v>4</v>
      </c>
      <c r="G253" s="127">
        <v>0</v>
      </c>
      <c r="H253" s="140">
        <f t="shared" si="61"/>
        <v>4</v>
      </c>
      <c r="I253" s="141" t="s">
        <v>20</v>
      </c>
      <c r="J253" s="729">
        <v>0</v>
      </c>
      <c r="K253" s="730">
        <f t="shared" si="62"/>
        <v>0</v>
      </c>
      <c r="L253" s="722"/>
      <c r="M253" s="749"/>
    </row>
    <row r="254" spans="1:13" s="394" customFormat="1" ht="47.25" x14ac:dyDescent="0.2">
      <c r="A254" s="714">
        <f>IF(F254&lt;&gt;"",1+MAX($A$1:A253),"")</f>
        <v>149</v>
      </c>
      <c r="B254" s="141" t="s">
        <v>1485</v>
      </c>
      <c r="C254" s="123" t="s">
        <v>1486</v>
      </c>
      <c r="D254" s="726"/>
      <c r="E254" s="748" t="s">
        <v>1536</v>
      </c>
      <c r="F254" s="728">
        <v>1</v>
      </c>
      <c r="G254" s="127">
        <v>0</v>
      </c>
      <c r="H254" s="140">
        <f t="shared" si="61"/>
        <v>1</v>
      </c>
      <c r="I254" s="141" t="s">
        <v>20</v>
      </c>
      <c r="J254" s="729">
        <v>0</v>
      </c>
      <c r="K254" s="730">
        <f t="shared" si="62"/>
        <v>0</v>
      </c>
      <c r="L254" s="722"/>
      <c r="M254" s="749"/>
    </row>
    <row r="255" spans="1:13" s="394" customFormat="1" ht="47.25" x14ac:dyDescent="0.2">
      <c r="A255" s="714">
        <f>IF(F255&lt;&gt;"",1+MAX($A$1:A254),"")</f>
        <v>150</v>
      </c>
      <c r="B255" s="141" t="s">
        <v>1485</v>
      </c>
      <c r="C255" s="123" t="s">
        <v>1534</v>
      </c>
      <c r="D255" s="726"/>
      <c r="E255" s="748" t="s">
        <v>1537</v>
      </c>
      <c r="F255" s="728">
        <v>18</v>
      </c>
      <c r="G255" s="127">
        <v>0</v>
      </c>
      <c r="H255" s="140">
        <f t="shared" si="61"/>
        <v>18</v>
      </c>
      <c r="I255" s="141" t="s">
        <v>20</v>
      </c>
      <c r="J255" s="729">
        <v>0</v>
      </c>
      <c r="K255" s="730">
        <f t="shared" si="62"/>
        <v>0</v>
      </c>
      <c r="L255" s="722"/>
      <c r="M255" s="749"/>
    </row>
    <row r="256" spans="1:13" s="394" customFormat="1" ht="47.25" x14ac:dyDescent="0.2">
      <c r="A256" s="714">
        <f>IF(F256&lt;&gt;"",1+MAX($A$1:A255),"")</f>
        <v>151</v>
      </c>
      <c r="B256" s="141" t="s">
        <v>1485</v>
      </c>
      <c r="C256" s="123" t="s">
        <v>1534</v>
      </c>
      <c r="D256" s="726"/>
      <c r="E256" s="748" t="s">
        <v>1538</v>
      </c>
      <c r="F256" s="139">
        <v>3</v>
      </c>
      <c r="G256" s="127">
        <v>0</v>
      </c>
      <c r="H256" s="140">
        <f>F256*(1+G256)</f>
        <v>3</v>
      </c>
      <c r="I256" s="141" t="s">
        <v>20</v>
      </c>
      <c r="J256" s="729">
        <v>0</v>
      </c>
      <c r="K256" s="730">
        <f>J256*H256</f>
        <v>0</v>
      </c>
      <c r="L256" s="722"/>
      <c r="M256" s="749"/>
    </row>
    <row r="257" spans="1:13" s="394" customFormat="1" ht="47.25" x14ac:dyDescent="0.2">
      <c r="A257" s="714">
        <f>IF(F257&lt;&gt;"",1+MAX($A$1:A256),"")</f>
        <v>152</v>
      </c>
      <c r="B257" s="141" t="s">
        <v>1485</v>
      </c>
      <c r="C257" s="123" t="s">
        <v>1534</v>
      </c>
      <c r="D257" s="726"/>
      <c r="E257" s="748" t="s">
        <v>1539</v>
      </c>
      <c r="F257" s="139">
        <v>3</v>
      </c>
      <c r="G257" s="127">
        <v>0</v>
      </c>
      <c r="H257" s="140">
        <f>F257*(1+G257)</f>
        <v>3</v>
      </c>
      <c r="I257" s="141" t="s">
        <v>20</v>
      </c>
      <c r="J257" s="729">
        <v>0</v>
      </c>
      <c r="K257" s="730">
        <f>J257*H257</f>
        <v>0</v>
      </c>
      <c r="L257" s="722"/>
      <c r="M257" s="749"/>
    </row>
    <row r="258" spans="1:13" s="394" customFormat="1" x14ac:dyDescent="0.2">
      <c r="A258" s="714" t="str">
        <f>IF(F258&lt;&gt;"",1+MAX($A$1:A257),"")</f>
        <v/>
      </c>
      <c r="B258" s="141"/>
      <c r="C258" s="123"/>
      <c r="D258" s="726"/>
      <c r="E258" s="750"/>
      <c r="F258" s="728"/>
      <c r="G258" s="436"/>
      <c r="H258" s="140"/>
      <c r="I258" s="141"/>
      <c r="J258" s="731"/>
      <c r="K258" s="730"/>
      <c r="L258" s="722"/>
      <c r="M258" s="706"/>
    </row>
    <row r="259" spans="1:13" s="394" customFormat="1" x14ac:dyDescent="0.2">
      <c r="A259" s="714" t="str">
        <f>IF(F259&lt;&gt;"",1+MAX($A$1:A258),"")</f>
        <v/>
      </c>
      <c r="B259" s="141"/>
      <c r="C259" s="123"/>
      <c r="D259" s="726"/>
      <c r="E259" s="760" t="s">
        <v>1540</v>
      </c>
      <c r="F259" s="728"/>
      <c r="G259" s="436"/>
      <c r="H259" s="140"/>
      <c r="I259" s="141"/>
      <c r="J259" s="731"/>
      <c r="K259" s="730"/>
      <c r="L259" s="722"/>
      <c r="M259" s="706"/>
    </row>
    <row r="260" spans="1:13" s="394" customFormat="1" ht="47.25" x14ac:dyDescent="0.2">
      <c r="A260" s="714">
        <f>IF(F260&lt;&gt;"",1+MAX($A$1:A259),"")</f>
        <v>153</v>
      </c>
      <c r="B260" s="141" t="s">
        <v>1485</v>
      </c>
      <c r="C260" s="123" t="s">
        <v>1486</v>
      </c>
      <c r="D260" s="726"/>
      <c r="E260" s="748" t="s">
        <v>1541</v>
      </c>
      <c r="F260" s="728">
        <v>2</v>
      </c>
      <c r="G260" s="127">
        <v>0</v>
      </c>
      <c r="H260" s="140">
        <f t="shared" ref="H260" si="63">F260*(1+G260)</f>
        <v>2</v>
      </c>
      <c r="I260" s="141" t="s">
        <v>20</v>
      </c>
      <c r="J260" s="729">
        <v>0</v>
      </c>
      <c r="K260" s="730">
        <f t="shared" ref="K260" si="64">J260*H260</f>
        <v>0</v>
      </c>
      <c r="L260" s="722"/>
      <c r="M260" s="749"/>
    </row>
    <row r="261" spans="1:13" s="394" customFormat="1" x14ac:dyDescent="0.2">
      <c r="A261" s="714" t="str">
        <f>IF(F261&lt;&gt;"",1+MAX($A$1:A260),"")</f>
        <v/>
      </c>
      <c r="B261" s="141"/>
      <c r="C261" s="123"/>
      <c r="D261" s="726"/>
      <c r="E261" s="750"/>
      <c r="F261" s="728"/>
      <c r="G261" s="436"/>
      <c r="H261" s="140"/>
      <c r="I261" s="141"/>
      <c r="J261" s="731"/>
      <c r="K261" s="730"/>
      <c r="L261" s="722"/>
      <c r="M261" s="706"/>
    </row>
    <row r="262" spans="1:13" s="394" customFormat="1" x14ac:dyDescent="0.2">
      <c r="A262" s="714" t="str">
        <f>IF(F262&lt;&gt;"",1+MAX($A$1:A261),"")</f>
        <v/>
      </c>
      <c r="B262" s="141"/>
      <c r="C262" s="123"/>
      <c r="D262" s="726"/>
      <c r="E262" s="760" t="s">
        <v>1542</v>
      </c>
      <c r="F262" s="728"/>
      <c r="G262" s="436"/>
      <c r="H262" s="140"/>
      <c r="I262" s="141"/>
      <c r="J262" s="731"/>
      <c r="K262" s="730"/>
      <c r="L262" s="722"/>
      <c r="M262" s="706"/>
    </row>
    <row r="263" spans="1:13" s="394" customFormat="1" x14ac:dyDescent="0.2">
      <c r="A263" s="714">
        <f>IF(F263&lt;&gt;"",1+MAX($A$1:A262),"")</f>
        <v>154</v>
      </c>
      <c r="B263" s="141" t="s">
        <v>1443</v>
      </c>
      <c r="C263" s="123" t="s">
        <v>1543</v>
      </c>
      <c r="D263" s="726"/>
      <c r="E263" s="748" t="s">
        <v>1544</v>
      </c>
      <c r="F263" s="139">
        <v>81.99</v>
      </c>
      <c r="G263" s="127">
        <v>0.1</v>
      </c>
      <c r="H263" s="140">
        <f>F263*(1+G263)</f>
        <v>90.189000000000007</v>
      </c>
      <c r="I263" s="141" t="s">
        <v>15</v>
      </c>
      <c r="J263" s="729">
        <v>0</v>
      </c>
      <c r="K263" s="730">
        <f>J263*H263</f>
        <v>0</v>
      </c>
      <c r="L263" s="722"/>
      <c r="M263" s="749"/>
    </row>
    <row r="264" spans="1:13" s="394" customFormat="1" ht="47.25" x14ac:dyDescent="0.2">
      <c r="A264" s="714">
        <f>IF(F264&lt;&gt;"",1+MAX($A$1:A263),"")</f>
        <v>155</v>
      </c>
      <c r="B264" s="141" t="s">
        <v>1443</v>
      </c>
      <c r="C264" s="123" t="s">
        <v>1543</v>
      </c>
      <c r="D264" s="726"/>
      <c r="E264" s="748" t="s">
        <v>1545</v>
      </c>
      <c r="F264" s="139">
        <v>4</v>
      </c>
      <c r="G264" s="127">
        <v>0</v>
      </c>
      <c r="H264" s="140">
        <f>F264*(1+G264)</f>
        <v>4</v>
      </c>
      <c r="I264" s="141" t="s">
        <v>20</v>
      </c>
      <c r="J264" s="729">
        <v>0</v>
      </c>
      <c r="K264" s="730">
        <f>J264*H264</f>
        <v>0</v>
      </c>
      <c r="L264" s="722"/>
      <c r="M264" s="749"/>
    </row>
    <row r="265" spans="1:13" ht="16.5" thickBot="1" x14ac:dyDescent="0.25">
      <c r="A265" s="714" t="str">
        <f>IF(F265&lt;&gt;"",1+MAX($A$1:A264),"")</f>
        <v/>
      </c>
      <c r="B265" s="141"/>
      <c r="C265" s="723"/>
      <c r="D265" s="368"/>
      <c r="E265" s="813"/>
      <c r="F265" s="573"/>
      <c r="G265" s="574"/>
      <c r="H265" s="573"/>
      <c r="I265" s="575"/>
      <c r="J265" s="741"/>
      <c r="K265" s="577"/>
      <c r="L265" s="578"/>
    </row>
    <row r="266" spans="1:13" ht="16.5" thickBot="1" x14ac:dyDescent="0.25">
      <c r="A266" s="714" t="str">
        <f>IF(F266&lt;&gt;"",1+MAX($A$1:A265),"")</f>
        <v/>
      </c>
      <c r="B266" s="726"/>
      <c r="C266" s="726"/>
      <c r="D266" s="370"/>
      <c r="E266" s="742" t="s">
        <v>1546</v>
      </c>
      <c r="F266" s="738"/>
      <c r="G266" s="743"/>
      <c r="H266" s="128"/>
      <c r="I266" s="129"/>
      <c r="J266" s="744"/>
      <c r="K266" s="69"/>
      <c r="L266" s="49">
        <f>SUM(K221:K265)</f>
        <v>0</v>
      </c>
      <c r="M266" s="745"/>
    </row>
    <row r="267" spans="1:13" s="394" customFormat="1" ht="16.5" thickBot="1" x14ac:dyDescent="0.25">
      <c r="A267" s="714" t="str">
        <f>IF(F267&lt;&gt;"",1+MAX($A$1:A266),"")</f>
        <v/>
      </c>
      <c r="B267" s="141"/>
      <c r="C267" s="723"/>
      <c r="D267" s="726"/>
      <c r="E267" s="750"/>
      <c r="F267" s="638"/>
      <c r="G267" s="436"/>
      <c r="H267" s="140"/>
      <c r="I267" s="141"/>
      <c r="J267" s="731"/>
      <c r="K267" s="730"/>
      <c r="L267" s="722"/>
      <c r="M267" s="706"/>
    </row>
    <row r="268" spans="1:13" ht="16.5" thickBot="1" x14ac:dyDescent="0.25">
      <c r="A268" s="714" t="str">
        <f>IF(F268&lt;&gt;"",1+MAX($A$1:A267),"")</f>
        <v/>
      </c>
      <c r="B268" s="141"/>
      <c r="C268" s="123"/>
      <c r="D268" s="370"/>
      <c r="E268" s="561" t="s">
        <v>1547</v>
      </c>
      <c r="F268" s="537"/>
      <c r="G268" s="718"/>
      <c r="H268" s="719"/>
      <c r="I268" s="720"/>
      <c r="J268" s="762"/>
      <c r="K268" s="811"/>
      <c r="L268" s="722"/>
    </row>
    <row r="269" spans="1:13" s="394" customFormat="1" x14ac:dyDescent="0.2">
      <c r="A269" s="714" t="str">
        <f>IF(F269&lt;&gt;"",1+MAX($A$1:A268),"")</f>
        <v/>
      </c>
      <c r="B269" s="141"/>
      <c r="C269" s="723"/>
      <c r="D269" s="726"/>
      <c r="E269" s="763" t="s">
        <v>1548</v>
      </c>
      <c r="F269" s="728"/>
      <c r="G269" s="436"/>
      <c r="H269" s="140"/>
      <c r="I269" s="141"/>
      <c r="J269" s="731"/>
      <c r="K269" s="730"/>
      <c r="L269" s="722"/>
      <c r="M269" s="706"/>
    </row>
    <row r="270" spans="1:13" s="394" customFormat="1" ht="63.75" thickBot="1" x14ac:dyDescent="0.25">
      <c r="A270" s="714" t="str">
        <f>IF(F270&lt;&gt;"",1+MAX($A$1:A269),"")</f>
        <v/>
      </c>
      <c r="B270" s="141"/>
      <c r="C270" s="123"/>
      <c r="D270" s="726"/>
      <c r="E270" s="764" t="s">
        <v>1549</v>
      </c>
      <c r="F270" s="765"/>
      <c r="G270" s="436"/>
      <c r="H270" s="140"/>
      <c r="I270" s="141"/>
      <c r="J270" s="731"/>
      <c r="K270" s="730"/>
      <c r="L270" s="722"/>
      <c r="M270" s="749"/>
    </row>
    <row r="271" spans="1:13" s="394" customFormat="1" x14ac:dyDescent="0.2">
      <c r="A271" s="714">
        <f>IF(F271&lt;&gt;"",1+MAX($A$1:A270),"")</f>
        <v>156</v>
      </c>
      <c r="B271" s="141" t="s">
        <v>1491</v>
      </c>
      <c r="C271" s="141" t="s">
        <v>1550</v>
      </c>
      <c r="D271" s="726"/>
      <c r="E271" s="766" t="s">
        <v>1027</v>
      </c>
      <c r="F271" s="126">
        <f>276.67*0.67*1.84/27</f>
        <v>12.632547259259262</v>
      </c>
      <c r="G271" s="127">
        <v>0.1</v>
      </c>
      <c r="H271" s="140">
        <f>F271*(1+G271)</f>
        <v>13.895801985185189</v>
      </c>
      <c r="I271" s="141" t="s">
        <v>1028</v>
      </c>
      <c r="J271" s="740">
        <f>J$227</f>
        <v>0</v>
      </c>
      <c r="K271" s="730">
        <f>J271*H271</f>
        <v>0</v>
      </c>
      <c r="L271" s="722"/>
      <c r="M271" s="749"/>
    </row>
    <row r="272" spans="1:13" s="394" customFormat="1" x14ac:dyDescent="0.2">
      <c r="A272" s="714">
        <f>IF(F272&lt;&gt;"",1+MAX($A$1:A271),"")</f>
        <v>157</v>
      </c>
      <c r="B272" s="141" t="s">
        <v>1491</v>
      </c>
      <c r="C272" s="141" t="s">
        <v>1550</v>
      </c>
      <c r="D272" s="726"/>
      <c r="E272" s="753" t="s">
        <v>1551</v>
      </c>
      <c r="F272" s="126">
        <f>2*276.67*0.668*1.2</f>
        <v>443.55734400000006</v>
      </c>
      <c r="G272" s="127">
        <v>0.1</v>
      </c>
      <c r="H272" s="140">
        <f t="shared" ref="H272" si="65">F272*(1+G272)</f>
        <v>487.91307840000007</v>
      </c>
      <c r="I272" s="141" t="s">
        <v>427</v>
      </c>
      <c r="J272" s="740">
        <f>J$132</f>
        <v>0</v>
      </c>
      <c r="K272" s="730">
        <f t="shared" ref="K272" si="66">J272*H272</f>
        <v>0</v>
      </c>
      <c r="L272" s="722"/>
      <c r="M272" s="749"/>
    </row>
    <row r="273" spans="1:13" s="394" customFormat="1" x14ac:dyDescent="0.2">
      <c r="A273" s="714">
        <f>IF(F273&lt;&gt;"",1+MAX($A$1:A272),"")</f>
        <v>158</v>
      </c>
      <c r="B273" s="141" t="s">
        <v>1491</v>
      </c>
      <c r="C273" s="141" t="s">
        <v>1550</v>
      </c>
      <c r="D273" s="726"/>
      <c r="E273" s="753" t="s">
        <v>1552</v>
      </c>
      <c r="F273" s="126">
        <f>276.67*1.84*2</f>
        <v>1018.1456000000001</v>
      </c>
      <c r="G273" s="127">
        <v>0.1</v>
      </c>
      <c r="H273" s="140">
        <f>F273*(1+G273)</f>
        <v>1119.9601600000001</v>
      </c>
      <c r="I273" s="141" t="s">
        <v>1030</v>
      </c>
      <c r="J273" s="729">
        <v>0</v>
      </c>
      <c r="K273" s="730">
        <f>J273*H273</f>
        <v>0</v>
      </c>
      <c r="L273" s="722"/>
      <c r="M273" s="749"/>
    </row>
    <row r="274" spans="1:13" s="394" customFormat="1" x14ac:dyDescent="0.2">
      <c r="A274" s="714">
        <f>IF(F274&lt;&gt;"",1+MAX($A$1:A273),"")</f>
        <v>159</v>
      </c>
      <c r="B274" s="141" t="s">
        <v>1491</v>
      </c>
      <c r="C274" s="141" t="s">
        <v>1550</v>
      </c>
      <c r="D274" s="726"/>
      <c r="E274" s="753" t="s">
        <v>1031</v>
      </c>
      <c r="F274" s="126">
        <f>276.67*2*1/27</f>
        <v>20.494074074074074</v>
      </c>
      <c r="G274" s="127">
        <v>0.1</v>
      </c>
      <c r="H274" s="140">
        <f>F274*(1+G274)</f>
        <v>22.543481481481482</v>
      </c>
      <c r="I274" s="141" t="s">
        <v>1028</v>
      </c>
      <c r="J274" s="729">
        <v>0</v>
      </c>
      <c r="K274" s="730">
        <f>J274*H274</f>
        <v>0</v>
      </c>
      <c r="L274" s="722"/>
      <c r="M274" s="749"/>
    </row>
    <row r="275" spans="1:13" s="394" customFormat="1" x14ac:dyDescent="0.2">
      <c r="A275" s="714">
        <f>IF(F275&lt;&gt;"",1+MAX($A$1:A274),"")</f>
        <v>160</v>
      </c>
      <c r="B275" s="141" t="s">
        <v>1491</v>
      </c>
      <c r="C275" s="141" t="s">
        <v>1550</v>
      </c>
      <c r="D275" s="726"/>
      <c r="E275" s="753" t="s">
        <v>1032</v>
      </c>
      <c r="F275" s="126">
        <f>F274-F271</f>
        <v>7.8615268148148125</v>
      </c>
      <c r="G275" s="127">
        <v>0.1</v>
      </c>
      <c r="H275" s="140">
        <f>F275*(1+G275)</f>
        <v>8.6476794962962948</v>
      </c>
      <c r="I275" s="141" t="s">
        <v>1028</v>
      </c>
      <c r="J275" s="729">
        <v>0</v>
      </c>
      <c r="K275" s="730">
        <f>J275*H275</f>
        <v>0</v>
      </c>
      <c r="L275" s="722"/>
      <c r="M275" s="749"/>
    </row>
    <row r="276" spans="1:13" s="394" customFormat="1" ht="31.5" x14ac:dyDescent="0.2">
      <c r="A276" s="714">
        <f>IF(F276&lt;&gt;"",1+MAX($A$1:A275),"")</f>
        <v>161</v>
      </c>
      <c r="B276" s="141" t="s">
        <v>1491</v>
      </c>
      <c r="C276" s="141" t="s">
        <v>1550</v>
      </c>
      <c r="D276" s="726"/>
      <c r="E276" s="753" t="s">
        <v>1553</v>
      </c>
      <c r="F276" s="126">
        <f>1*4*0.668*1.2*2</f>
        <v>6.4127999999999998</v>
      </c>
      <c r="G276" s="127">
        <v>0.1</v>
      </c>
      <c r="H276" s="140">
        <f>F276*(1+G276)</f>
        <v>7.0540800000000008</v>
      </c>
      <c r="I276" s="141" t="s">
        <v>427</v>
      </c>
      <c r="J276" s="740">
        <f>J$132</f>
        <v>0</v>
      </c>
      <c r="K276" s="730">
        <f>J276*H276</f>
        <v>0</v>
      </c>
      <c r="L276" s="722"/>
      <c r="M276" s="749"/>
    </row>
    <row r="277" spans="1:13" s="394" customFormat="1" ht="16.5" thickBot="1" x14ac:dyDescent="0.25">
      <c r="A277" s="714" t="str">
        <f>IF(F277&lt;&gt;"",1+MAX($A$1:A276),"")</f>
        <v/>
      </c>
      <c r="B277" s="141"/>
      <c r="C277" s="123"/>
      <c r="D277" s="726"/>
      <c r="E277" s="767" t="s">
        <v>1554</v>
      </c>
      <c r="F277" s="728"/>
      <c r="G277" s="436"/>
      <c r="H277" s="140"/>
      <c r="I277" s="141"/>
      <c r="J277" s="731"/>
      <c r="K277" s="730"/>
      <c r="L277" s="722"/>
      <c r="M277" s="706"/>
    </row>
    <row r="278" spans="1:13" s="394" customFormat="1" ht="63.75" thickBot="1" x14ac:dyDescent="0.25">
      <c r="A278" s="714" t="str">
        <f>IF(F278&lt;&gt;"",1+MAX($A$1:A277),"")</f>
        <v/>
      </c>
      <c r="B278" s="141"/>
      <c r="C278" s="123"/>
      <c r="D278" s="726"/>
      <c r="E278" s="768" t="s">
        <v>1555</v>
      </c>
      <c r="F278" s="738"/>
      <c r="G278" s="436"/>
      <c r="H278" s="140"/>
      <c r="I278" s="141"/>
      <c r="J278" s="731"/>
      <c r="K278" s="730"/>
      <c r="L278" s="722"/>
      <c r="M278" s="749"/>
    </row>
    <row r="279" spans="1:13" s="394" customFormat="1" ht="31.5" x14ac:dyDescent="0.2">
      <c r="A279" s="714">
        <f>IF(F279&lt;&gt;"",1+MAX($A$1:A278),"")</f>
        <v>162</v>
      </c>
      <c r="B279" s="141" t="s">
        <v>1491</v>
      </c>
      <c r="C279" s="141" t="s">
        <v>1550</v>
      </c>
      <c r="D279" s="726"/>
      <c r="E279" s="766" t="s">
        <v>1556</v>
      </c>
      <c r="F279" s="126">
        <f>270.67*6</f>
        <v>1624.02</v>
      </c>
      <c r="G279" s="127">
        <v>0.1</v>
      </c>
      <c r="H279" s="140">
        <f t="shared" ref="H279" si="67">F279*(1+G279)</f>
        <v>1786.422</v>
      </c>
      <c r="I279" s="141" t="s">
        <v>18</v>
      </c>
      <c r="J279" s="740">
        <f>J$196</f>
        <v>0</v>
      </c>
      <c r="K279" s="730">
        <f t="shared" ref="K279" si="68">J279*H279</f>
        <v>0</v>
      </c>
      <c r="L279" s="722"/>
      <c r="M279" s="749"/>
    </row>
    <row r="280" spans="1:13" s="394" customFormat="1" x14ac:dyDescent="0.2">
      <c r="A280" s="714">
        <f>IF(F280&lt;&gt;"",1+MAX($A$1:A279),"")</f>
        <v>163</v>
      </c>
      <c r="B280" s="141" t="s">
        <v>1491</v>
      </c>
      <c r="C280" s="141" t="s">
        <v>1550</v>
      </c>
      <c r="D280" s="726"/>
      <c r="E280" s="753" t="s">
        <v>1557</v>
      </c>
      <c r="F280" s="126">
        <f>(6/2+2)*270.67*0.668*1.2</f>
        <v>1084.8453600000003</v>
      </c>
      <c r="G280" s="127">
        <v>0.1</v>
      </c>
      <c r="H280" s="140">
        <f>F280*(1+G280)</f>
        <v>1193.3298960000004</v>
      </c>
      <c r="I280" s="141" t="s">
        <v>427</v>
      </c>
      <c r="J280" s="740">
        <f>J$132</f>
        <v>0</v>
      </c>
      <c r="K280" s="730">
        <f>J280*H280</f>
        <v>0</v>
      </c>
      <c r="L280" s="722"/>
      <c r="M280" s="749"/>
    </row>
    <row r="281" spans="1:13" s="394" customFormat="1" ht="78.75" x14ac:dyDescent="0.2">
      <c r="A281" s="714">
        <f>IF(F281&lt;&gt;"",1+MAX($A$1:A280),"")</f>
        <v>164</v>
      </c>
      <c r="B281" s="141" t="s">
        <v>1491</v>
      </c>
      <c r="C281" s="141" t="s">
        <v>1550</v>
      </c>
      <c r="D281" s="367"/>
      <c r="E281" s="753" t="s">
        <v>1558</v>
      </c>
      <c r="F281" s="126">
        <f>(270.67/6+1)</f>
        <v>46.111666666666672</v>
      </c>
      <c r="G281" s="127">
        <v>0</v>
      </c>
      <c r="H281" s="140">
        <f t="shared" ref="H281" si="69">F281*(1+G281)</f>
        <v>46.111666666666672</v>
      </c>
      <c r="I281" s="141" t="s">
        <v>20</v>
      </c>
      <c r="J281" s="729">
        <v>0</v>
      </c>
      <c r="K281" s="730">
        <f t="shared" ref="K281" si="70">J281*H281</f>
        <v>0</v>
      </c>
      <c r="L281" s="722"/>
      <c r="M281" s="706"/>
    </row>
    <row r="282" spans="1:13" s="394" customFormat="1" ht="16.5" thickBot="1" x14ac:dyDescent="0.25">
      <c r="A282" s="714" t="str">
        <f>IF(F282&lt;&gt;"",1+MAX($A$1:A281),"")</f>
        <v/>
      </c>
      <c r="B282" s="141"/>
      <c r="C282" s="723"/>
      <c r="D282" s="726"/>
      <c r="E282" s="750"/>
      <c r="F282" s="638"/>
      <c r="G282" s="436"/>
      <c r="H282" s="140"/>
      <c r="I282" s="141"/>
      <c r="J282" s="731"/>
      <c r="K282" s="730"/>
      <c r="L282" s="722"/>
      <c r="M282" s="706"/>
    </row>
    <row r="283" spans="1:13" s="394" customFormat="1" ht="63.75" thickBot="1" x14ac:dyDescent="0.25">
      <c r="A283" s="714" t="str">
        <f>IF(F283&lt;&gt;"",1+MAX($A$1:A282),"")</f>
        <v/>
      </c>
      <c r="B283" s="141"/>
      <c r="C283" s="123"/>
      <c r="D283" s="726"/>
      <c r="E283" s="768" t="s">
        <v>1559</v>
      </c>
      <c r="F283" s="738"/>
      <c r="G283" s="436"/>
      <c r="H283" s="140"/>
      <c r="I283" s="141"/>
      <c r="J283" s="731"/>
      <c r="K283" s="730"/>
      <c r="L283" s="722"/>
      <c r="M283" s="749"/>
    </row>
    <row r="284" spans="1:13" s="394" customFormat="1" ht="31.5" x14ac:dyDescent="0.2">
      <c r="A284" s="714">
        <f>IF(F284&lt;&gt;"",1+MAX($A$1:A283),"")</f>
        <v>165</v>
      </c>
      <c r="B284" s="141" t="s">
        <v>1491</v>
      </c>
      <c r="C284" s="141" t="s">
        <v>1550</v>
      </c>
      <c r="D284" s="726"/>
      <c r="E284" s="766" t="s">
        <v>1556</v>
      </c>
      <c r="F284" s="126">
        <f>6*4</f>
        <v>24</v>
      </c>
      <c r="G284" s="127">
        <v>0.1</v>
      </c>
      <c r="H284" s="140">
        <f t="shared" ref="H284" si="71">F284*(1+G284)</f>
        <v>26.400000000000002</v>
      </c>
      <c r="I284" s="141" t="s">
        <v>18</v>
      </c>
      <c r="J284" s="740">
        <f>J$196</f>
        <v>0</v>
      </c>
      <c r="K284" s="730">
        <f t="shared" ref="K284" si="72">J284*H284</f>
        <v>0</v>
      </c>
      <c r="L284" s="722"/>
      <c r="M284" s="749"/>
    </row>
    <row r="285" spans="1:13" s="394" customFormat="1" x14ac:dyDescent="0.2">
      <c r="A285" s="714">
        <f>IF(F285&lt;&gt;"",1+MAX($A$1:A284),"")</f>
        <v>166</v>
      </c>
      <c r="B285" s="141" t="s">
        <v>1491</v>
      </c>
      <c r="C285" s="141" t="s">
        <v>1550</v>
      </c>
      <c r="D285" s="726"/>
      <c r="E285" s="753" t="s">
        <v>1557</v>
      </c>
      <c r="F285" s="126">
        <f>(4/2+2)*6*0.668*1.2</f>
        <v>19.238399999999999</v>
      </c>
      <c r="G285" s="127">
        <v>0.1</v>
      </c>
      <c r="H285" s="140">
        <f>F285*(1+G285)</f>
        <v>21.162240000000001</v>
      </c>
      <c r="I285" s="141" t="s">
        <v>427</v>
      </c>
      <c r="J285" s="740">
        <f>J$132</f>
        <v>0</v>
      </c>
      <c r="K285" s="730">
        <f>J285*H285</f>
        <v>0</v>
      </c>
      <c r="L285" s="722"/>
      <c r="M285" s="749"/>
    </row>
    <row r="286" spans="1:13" s="394" customFormat="1" ht="78.75" x14ac:dyDescent="0.2">
      <c r="A286" s="714">
        <f>IF(F286&lt;&gt;"",1+MAX($A$1:A285),"")</f>
        <v>167</v>
      </c>
      <c r="B286" s="141" t="s">
        <v>1491</v>
      </c>
      <c r="C286" s="141" t="s">
        <v>1550</v>
      </c>
      <c r="D286" s="367"/>
      <c r="E286" s="753" t="s">
        <v>1560</v>
      </c>
      <c r="F286" s="126">
        <f>(6/6+1)</f>
        <v>2</v>
      </c>
      <c r="G286" s="127">
        <v>0</v>
      </c>
      <c r="H286" s="140">
        <f t="shared" ref="H286" si="73">F286*(1+G286)</f>
        <v>2</v>
      </c>
      <c r="I286" s="141" t="s">
        <v>20</v>
      </c>
      <c r="J286" s="731">
        <f>J$281</f>
        <v>0</v>
      </c>
      <c r="K286" s="730">
        <f t="shared" ref="K286" si="74">J286*H286</f>
        <v>0</v>
      </c>
      <c r="L286" s="722"/>
      <c r="M286" s="706"/>
    </row>
    <row r="287" spans="1:13" s="394" customFormat="1" x14ac:dyDescent="0.2">
      <c r="A287" s="714" t="str">
        <f>IF(F287&lt;&gt;"",1+MAX($A$1:A286),"")</f>
        <v/>
      </c>
      <c r="B287" s="141"/>
      <c r="C287" s="723"/>
      <c r="D287" s="726"/>
      <c r="E287" s="727"/>
      <c r="F287" s="638"/>
      <c r="G287" s="436"/>
      <c r="H287" s="140"/>
      <c r="I287" s="141"/>
      <c r="J287" s="731"/>
      <c r="K287" s="730"/>
      <c r="L287" s="722"/>
      <c r="M287" s="706"/>
    </row>
    <row r="288" spans="1:13" s="394" customFormat="1" ht="16.5" thickBot="1" x14ac:dyDescent="0.25">
      <c r="A288" s="714" t="str">
        <f>IF(F288&lt;&gt;"",1+MAX($A$1:A287),"")</f>
        <v/>
      </c>
      <c r="B288" s="141"/>
      <c r="C288" s="123"/>
      <c r="D288" s="726"/>
      <c r="E288" s="767" t="s">
        <v>1554</v>
      </c>
      <c r="F288" s="728"/>
      <c r="G288" s="436"/>
      <c r="H288" s="140"/>
      <c r="I288" s="141"/>
      <c r="J288" s="731"/>
      <c r="K288" s="730"/>
      <c r="L288" s="722"/>
      <c r="M288" s="706"/>
    </row>
    <row r="289" spans="1:13" s="394" customFormat="1" ht="63.75" thickBot="1" x14ac:dyDescent="0.25">
      <c r="A289" s="714" t="str">
        <f>IF(F289&lt;&gt;"",1+MAX($A$1:A288),"")</f>
        <v/>
      </c>
      <c r="B289" s="141"/>
      <c r="C289" s="123"/>
      <c r="D289" s="726"/>
      <c r="E289" s="768" t="s">
        <v>1561</v>
      </c>
      <c r="F289" s="738"/>
      <c r="G289" s="436"/>
      <c r="H289" s="140"/>
      <c r="I289" s="141"/>
      <c r="J289" s="731"/>
      <c r="K289" s="730"/>
      <c r="L289" s="722"/>
      <c r="M289" s="749"/>
    </row>
    <row r="290" spans="1:13" s="394" customFormat="1" x14ac:dyDescent="0.2">
      <c r="A290" s="714">
        <f>IF(F290&lt;&gt;"",1+MAX($A$1:A289),"")</f>
        <v>168</v>
      </c>
      <c r="B290" s="141" t="s">
        <v>1491</v>
      </c>
      <c r="C290" s="141" t="s">
        <v>1495</v>
      </c>
      <c r="D290" s="726"/>
      <c r="E290" s="766" t="s">
        <v>1562</v>
      </c>
      <c r="F290" s="126">
        <f>97*1.75*1/27</f>
        <v>6.2870370370370372</v>
      </c>
      <c r="G290" s="127">
        <v>0.1</v>
      </c>
      <c r="H290" s="140">
        <f t="shared" ref="H290" si="75">F290*(1+G290)</f>
        <v>6.9157407407407412</v>
      </c>
      <c r="I290" s="141" t="s">
        <v>1028</v>
      </c>
      <c r="J290" s="740">
        <f>J$227</f>
        <v>0</v>
      </c>
      <c r="K290" s="730">
        <f t="shared" ref="K290" si="76">J290*H290</f>
        <v>0</v>
      </c>
      <c r="L290" s="722"/>
      <c r="M290" s="749"/>
    </row>
    <row r="291" spans="1:13" s="394" customFormat="1" x14ac:dyDescent="0.2">
      <c r="A291" s="714">
        <f>IF(F291&lt;&gt;"",1+MAX($A$1:A290),"")</f>
        <v>169</v>
      </c>
      <c r="B291" s="141" t="s">
        <v>1491</v>
      </c>
      <c r="C291" s="141" t="s">
        <v>1495</v>
      </c>
      <c r="D291" s="726"/>
      <c r="E291" s="753" t="s">
        <v>1552</v>
      </c>
      <c r="F291" s="126">
        <f>97*1</f>
        <v>97</v>
      </c>
      <c r="G291" s="127">
        <v>0.1</v>
      </c>
      <c r="H291" s="140">
        <f>F291*(1+G291)</f>
        <v>106.7</v>
      </c>
      <c r="I291" s="141" t="s">
        <v>1030</v>
      </c>
      <c r="J291" s="740">
        <f>J$273</f>
        <v>0</v>
      </c>
      <c r="K291" s="730">
        <f>J291*H291</f>
        <v>0</v>
      </c>
      <c r="L291" s="722"/>
      <c r="M291" s="749"/>
    </row>
    <row r="292" spans="1:13" s="394" customFormat="1" x14ac:dyDescent="0.2">
      <c r="A292" s="714">
        <f>IF(F292&lt;&gt;"",1+MAX($A$1:A291),"")</f>
        <v>170</v>
      </c>
      <c r="B292" s="141" t="s">
        <v>1491</v>
      </c>
      <c r="C292" s="141" t="s">
        <v>1495</v>
      </c>
      <c r="D292" s="726"/>
      <c r="E292" s="766" t="s">
        <v>1563</v>
      </c>
      <c r="F292" s="126">
        <f>97*6</f>
        <v>582</v>
      </c>
      <c r="G292" s="127">
        <v>0.1</v>
      </c>
      <c r="H292" s="140">
        <f t="shared" ref="H292" si="77">F292*(1+G292)</f>
        <v>640.20000000000005</v>
      </c>
      <c r="I292" s="141" t="s">
        <v>18</v>
      </c>
      <c r="J292" s="740">
        <f>J$196</f>
        <v>0</v>
      </c>
      <c r="K292" s="730">
        <f t="shared" ref="K292" si="78">J292*H292</f>
        <v>0</v>
      </c>
      <c r="L292" s="722"/>
      <c r="M292" s="749"/>
    </row>
    <row r="293" spans="1:13" s="394" customFormat="1" x14ac:dyDescent="0.2">
      <c r="A293" s="714">
        <f>IF(F293&lt;&gt;"",1+MAX($A$1:A292),"")</f>
        <v>171</v>
      </c>
      <c r="B293" s="141" t="s">
        <v>1491</v>
      </c>
      <c r="C293" s="141" t="s">
        <v>1495</v>
      </c>
      <c r="D293" s="726"/>
      <c r="E293" s="753" t="s">
        <v>1496</v>
      </c>
      <c r="F293" s="126">
        <f>1*97*0.668*1.2</f>
        <v>77.755200000000002</v>
      </c>
      <c r="G293" s="127">
        <v>0.1</v>
      </c>
      <c r="H293" s="140">
        <f>F293*(1+G293)</f>
        <v>85.530720000000002</v>
      </c>
      <c r="I293" s="141" t="s">
        <v>427</v>
      </c>
      <c r="J293" s="740">
        <f t="shared" ref="J293:J295" si="79">J$132</f>
        <v>0</v>
      </c>
      <c r="K293" s="730">
        <f>J293*H293</f>
        <v>0</v>
      </c>
      <c r="L293" s="722"/>
      <c r="M293" s="749"/>
    </row>
    <row r="294" spans="1:13" s="394" customFormat="1" x14ac:dyDescent="0.2">
      <c r="A294" s="714">
        <f>IF(F294&lt;&gt;"",1+MAX($A$1:A293),"")</f>
        <v>172</v>
      </c>
      <c r="B294" s="141" t="s">
        <v>1491</v>
      </c>
      <c r="C294" s="141" t="s">
        <v>1495</v>
      </c>
      <c r="D294" s="726"/>
      <c r="E294" s="753" t="s">
        <v>1497</v>
      </c>
      <c r="F294" s="126">
        <f>(6/2+1)*97*0.668*1.2</f>
        <v>311.02080000000001</v>
      </c>
      <c r="G294" s="127">
        <v>0.1</v>
      </c>
      <c r="H294" s="140">
        <f>F294*(1+G294)</f>
        <v>342.12288000000001</v>
      </c>
      <c r="I294" s="141" t="s">
        <v>427</v>
      </c>
      <c r="J294" s="740">
        <f t="shared" si="79"/>
        <v>0</v>
      </c>
      <c r="K294" s="730">
        <f>J294*H294</f>
        <v>0</v>
      </c>
      <c r="L294" s="722"/>
      <c r="M294" s="749"/>
    </row>
    <row r="295" spans="1:13" s="394" customFormat="1" x14ac:dyDescent="0.2">
      <c r="A295" s="714">
        <f>IF(F295&lt;&gt;"",1+MAX($A$1:A294),"")</f>
        <v>173</v>
      </c>
      <c r="B295" s="141" t="s">
        <v>1491</v>
      </c>
      <c r="C295" s="141" t="s">
        <v>1495</v>
      </c>
      <c r="D295" s="726"/>
      <c r="E295" s="753" t="s">
        <v>1564</v>
      </c>
      <c r="F295" s="126">
        <f>(97/1.34+1)*8*0.668*1.2</f>
        <v>470.62294925373135</v>
      </c>
      <c r="G295" s="127">
        <v>0.1</v>
      </c>
      <c r="H295" s="140">
        <f>F295*(1+G295)</f>
        <v>517.68524417910453</v>
      </c>
      <c r="I295" s="141" t="s">
        <v>427</v>
      </c>
      <c r="J295" s="740">
        <f t="shared" si="79"/>
        <v>0</v>
      </c>
      <c r="K295" s="730">
        <f>J295*H295</f>
        <v>0</v>
      </c>
      <c r="L295" s="722"/>
      <c r="M295" s="749"/>
    </row>
    <row r="296" spans="1:13" ht="16.5" thickBot="1" x14ac:dyDescent="0.25">
      <c r="A296" s="714" t="str">
        <f>IF(F296&lt;&gt;"",1+MAX($A$1:A295),"")</f>
        <v/>
      </c>
      <c r="B296" s="141"/>
      <c r="C296" s="723"/>
      <c r="D296" s="368"/>
      <c r="E296" s="813"/>
      <c r="F296" s="573"/>
      <c r="G296" s="574"/>
      <c r="H296" s="573"/>
      <c r="I296" s="575"/>
      <c r="J296" s="741"/>
      <c r="K296" s="577"/>
      <c r="L296" s="578"/>
    </row>
    <row r="297" spans="1:13" ht="16.5" thickBot="1" x14ac:dyDescent="0.25">
      <c r="A297" s="714" t="str">
        <f>IF(F297&lt;&gt;"",1+MAX($A$1:A296),"")</f>
        <v/>
      </c>
      <c r="B297" s="726"/>
      <c r="C297" s="726"/>
      <c r="D297" s="370"/>
      <c r="E297" s="742" t="s">
        <v>1565</v>
      </c>
      <c r="F297" s="738"/>
      <c r="G297" s="743"/>
      <c r="H297" s="128"/>
      <c r="I297" s="129"/>
      <c r="J297" s="744"/>
      <c r="K297" s="69"/>
      <c r="L297" s="49">
        <f>SUM(K268:K296)</f>
        <v>0</v>
      </c>
      <c r="M297" s="745"/>
    </row>
    <row r="298" spans="1:13" s="394" customFormat="1" ht="16.5" thickBot="1" x14ac:dyDescent="0.25">
      <c r="A298" s="714" t="str">
        <f>IF(F298&lt;&gt;"",1+MAX($A$1:A297),"")</f>
        <v/>
      </c>
      <c r="B298" s="141"/>
      <c r="C298" s="723"/>
      <c r="D298" s="726"/>
      <c r="E298" s="750"/>
      <c r="F298" s="638"/>
      <c r="G298" s="436"/>
      <c r="H298" s="140"/>
      <c r="I298" s="141"/>
      <c r="J298" s="731"/>
      <c r="K298" s="730"/>
      <c r="L298" s="722"/>
      <c r="M298" s="706"/>
    </row>
    <row r="299" spans="1:13" ht="16.5" thickBot="1" x14ac:dyDescent="0.25">
      <c r="A299" s="714" t="str">
        <f>IF(F299&lt;&gt;"",1+MAX($A$1:A298),"")</f>
        <v/>
      </c>
      <c r="B299" s="141"/>
      <c r="C299" s="123"/>
      <c r="D299" s="370"/>
      <c r="E299" s="561" t="s">
        <v>1566</v>
      </c>
      <c r="F299" s="537"/>
      <c r="G299" s="718"/>
      <c r="H299" s="719"/>
      <c r="I299" s="720"/>
      <c r="J299" s="762"/>
      <c r="K299" s="811"/>
      <c r="L299" s="722"/>
    </row>
    <row r="300" spans="1:13" s="394" customFormat="1" x14ac:dyDescent="0.2">
      <c r="A300" s="714" t="str">
        <f>IF(F300&lt;&gt;"",1+MAX($A$1:A299),"")</f>
        <v/>
      </c>
      <c r="B300" s="141"/>
      <c r="C300" s="723"/>
      <c r="D300" s="723"/>
      <c r="E300" s="769" t="s">
        <v>1567</v>
      </c>
      <c r="F300" s="738"/>
      <c r="G300" s="127"/>
      <c r="H300" s="140"/>
      <c r="I300" s="141"/>
      <c r="J300" s="762"/>
      <c r="K300" s="730"/>
      <c r="L300" s="722"/>
      <c r="M300" s="749"/>
    </row>
    <row r="301" spans="1:13" s="394" customFormat="1" x14ac:dyDescent="0.2">
      <c r="A301" s="714">
        <f>IF(F301&lt;&gt;"",1+MAX($A$1:A300),"")</f>
        <v>174</v>
      </c>
      <c r="B301" s="141" t="s">
        <v>1568</v>
      </c>
      <c r="C301" s="770" t="s">
        <v>1569</v>
      </c>
      <c r="D301" s="370"/>
      <c r="E301" s="771" t="s">
        <v>1570</v>
      </c>
      <c r="F301" s="728">
        <v>262.05</v>
      </c>
      <c r="G301" s="127">
        <v>0.1</v>
      </c>
      <c r="H301" s="128">
        <f t="shared" ref="H301:H305" si="80">F301*(1+G301)</f>
        <v>288.25500000000005</v>
      </c>
      <c r="I301" s="129" t="s">
        <v>15</v>
      </c>
      <c r="J301" s="729">
        <v>0</v>
      </c>
      <c r="K301" s="734">
        <f t="shared" ref="K301:K305" si="81">J301*H301</f>
        <v>0</v>
      </c>
      <c r="L301" s="722"/>
    </row>
    <row r="302" spans="1:13" s="394" customFormat="1" x14ac:dyDescent="0.2">
      <c r="A302" s="714">
        <f>IF(F302&lt;&gt;"",1+MAX($A$1:A301),"")</f>
        <v>175</v>
      </c>
      <c r="B302" s="141" t="s">
        <v>1568</v>
      </c>
      <c r="C302" s="770" t="s">
        <v>1569</v>
      </c>
      <c r="D302" s="370"/>
      <c r="E302" s="727" t="s">
        <v>1031</v>
      </c>
      <c r="F302" s="728">
        <f>2.34*4*F301/27</f>
        <v>90.843999999999994</v>
      </c>
      <c r="G302" s="127">
        <v>0.1</v>
      </c>
      <c r="H302" s="128">
        <f t="shared" si="80"/>
        <v>99.928399999999996</v>
      </c>
      <c r="I302" s="129" t="s">
        <v>1028</v>
      </c>
      <c r="J302" s="740">
        <f>J$274</f>
        <v>0</v>
      </c>
      <c r="K302" s="734">
        <f t="shared" si="81"/>
        <v>0</v>
      </c>
      <c r="L302" s="722"/>
    </row>
    <row r="303" spans="1:13" s="394" customFormat="1" x14ac:dyDescent="0.2">
      <c r="A303" s="714">
        <f>IF(F303&lt;&gt;"",1+MAX($A$1:A302),"")</f>
        <v>176</v>
      </c>
      <c r="B303" s="141" t="s">
        <v>1568</v>
      </c>
      <c r="C303" s="770" t="s">
        <v>1569</v>
      </c>
      <c r="D303" s="370"/>
      <c r="E303" s="727" t="s">
        <v>1571</v>
      </c>
      <c r="F303" s="728">
        <f>0.34*2.34*F301/27</f>
        <v>7.7217399999999996</v>
      </c>
      <c r="G303" s="127">
        <v>0.1</v>
      </c>
      <c r="H303" s="128">
        <f t="shared" si="80"/>
        <v>8.4939140000000002</v>
      </c>
      <c r="I303" s="129" t="s">
        <v>1028</v>
      </c>
      <c r="J303" s="740">
        <f t="shared" ref="J303:J304" si="82">J$124</f>
        <v>0</v>
      </c>
      <c r="K303" s="734">
        <f t="shared" si="81"/>
        <v>0</v>
      </c>
      <c r="L303" s="722"/>
    </row>
    <row r="304" spans="1:13" s="394" customFormat="1" x14ac:dyDescent="0.2">
      <c r="A304" s="714">
        <f>IF(F304&lt;&gt;"",1+MAX($A$1:A303),"")</f>
        <v>177</v>
      </c>
      <c r="B304" s="141" t="s">
        <v>1568</v>
      </c>
      <c r="C304" s="770" t="s">
        <v>1569</v>
      </c>
      <c r="D304" s="370"/>
      <c r="E304" s="727" t="s">
        <v>1572</v>
      </c>
      <c r="F304" s="728">
        <f>2.34*1.5*F301/27-3.14*0.84*0.84*0.25*F301/27</f>
        <v>28.690631599999996</v>
      </c>
      <c r="G304" s="127">
        <v>0.1</v>
      </c>
      <c r="H304" s="128">
        <f t="shared" si="80"/>
        <v>31.559694759999999</v>
      </c>
      <c r="I304" s="129" t="s">
        <v>1028</v>
      </c>
      <c r="J304" s="740">
        <f t="shared" si="82"/>
        <v>0</v>
      </c>
      <c r="K304" s="734">
        <f t="shared" si="81"/>
        <v>0</v>
      </c>
      <c r="L304" s="722"/>
    </row>
    <row r="305" spans="1:13" s="394" customFormat="1" x14ac:dyDescent="0.2">
      <c r="A305" s="714">
        <f>IF(F305&lt;&gt;"",1+MAX($A$1:A304),"")</f>
        <v>178</v>
      </c>
      <c r="B305" s="141" t="s">
        <v>1568</v>
      </c>
      <c r="C305" s="770" t="s">
        <v>1569</v>
      </c>
      <c r="D305" s="370"/>
      <c r="E305" s="727" t="s">
        <v>1032</v>
      </c>
      <c r="F305" s="728">
        <f>F302-F303-F304-3.14*0.84*0.84*0.25*F301/27</f>
        <v>49.055759999999999</v>
      </c>
      <c r="G305" s="127">
        <v>0.1</v>
      </c>
      <c r="H305" s="128">
        <f t="shared" si="80"/>
        <v>53.961336000000003</v>
      </c>
      <c r="I305" s="129" t="s">
        <v>1028</v>
      </c>
      <c r="J305" s="740">
        <f>J$275</f>
        <v>0</v>
      </c>
      <c r="K305" s="734">
        <f t="shared" si="81"/>
        <v>0</v>
      </c>
      <c r="L305" s="722"/>
    </row>
    <row r="306" spans="1:13" x14ac:dyDescent="0.2">
      <c r="A306" s="714" t="str">
        <f>IF(F306&lt;&gt;"",1+MAX($A$1:A305),"")</f>
        <v/>
      </c>
      <c r="B306" s="141"/>
      <c r="C306" s="770"/>
      <c r="D306" s="370"/>
      <c r="E306" s="771"/>
      <c r="F306" s="728"/>
      <c r="G306" s="772"/>
      <c r="H306" s="128"/>
      <c r="I306" s="129"/>
      <c r="J306" s="762"/>
      <c r="K306" s="811"/>
      <c r="L306" s="722"/>
    </row>
    <row r="307" spans="1:13" s="394" customFormat="1" x14ac:dyDescent="0.2">
      <c r="A307" s="714">
        <f>IF(F307&lt;&gt;"",1+MAX($A$1:A306),"")</f>
        <v>179</v>
      </c>
      <c r="B307" s="141" t="s">
        <v>1568</v>
      </c>
      <c r="C307" s="770" t="s">
        <v>1569</v>
      </c>
      <c r="D307" s="370"/>
      <c r="E307" s="771" t="s">
        <v>1573</v>
      </c>
      <c r="F307" s="728">
        <v>120.04</v>
      </c>
      <c r="G307" s="127">
        <v>0.1</v>
      </c>
      <c r="H307" s="128">
        <f t="shared" ref="H307:H311" si="83">F307*(1+G307)</f>
        <v>132.04400000000001</v>
      </c>
      <c r="I307" s="129" t="s">
        <v>15</v>
      </c>
      <c r="J307" s="729">
        <v>0</v>
      </c>
      <c r="K307" s="734">
        <f t="shared" ref="K307:K311" si="84">J307*H307</f>
        <v>0</v>
      </c>
      <c r="L307" s="722"/>
    </row>
    <row r="308" spans="1:13" s="394" customFormat="1" x14ac:dyDescent="0.2">
      <c r="A308" s="714">
        <f>IF(F308&lt;&gt;"",1+MAX($A$1:A307),"")</f>
        <v>180</v>
      </c>
      <c r="B308" s="141" t="s">
        <v>1568</v>
      </c>
      <c r="C308" s="770" t="s">
        <v>1569</v>
      </c>
      <c r="D308" s="370"/>
      <c r="E308" s="727" t="s">
        <v>1031</v>
      </c>
      <c r="F308" s="728">
        <f>2.17*4*F307/27</f>
        <v>38.590637037037041</v>
      </c>
      <c r="G308" s="127">
        <v>0.1</v>
      </c>
      <c r="H308" s="128">
        <f t="shared" si="83"/>
        <v>42.449700740740745</v>
      </c>
      <c r="I308" s="129" t="s">
        <v>1028</v>
      </c>
      <c r="J308" s="740">
        <f>J$274</f>
        <v>0</v>
      </c>
      <c r="K308" s="734">
        <f t="shared" si="84"/>
        <v>0</v>
      </c>
      <c r="L308" s="722"/>
    </row>
    <row r="309" spans="1:13" s="394" customFormat="1" x14ac:dyDescent="0.2">
      <c r="A309" s="714">
        <f>IF(F309&lt;&gt;"",1+MAX($A$1:A308),"")</f>
        <v>181</v>
      </c>
      <c r="B309" s="141" t="s">
        <v>1568</v>
      </c>
      <c r="C309" s="770" t="s">
        <v>1569</v>
      </c>
      <c r="D309" s="370"/>
      <c r="E309" s="727" t="s">
        <v>1571</v>
      </c>
      <c r="F309" s="728">
        <f>0.34*2.17*F307/27</f>
        <v>3.2802041481481488</v>
      </c>
      <c r="G309" s="127">
        <v>0.1</v>
      </c>
      <c r="H309" s="128">
        <f t="shared" si="83"/>
        <v>3.6082245629629641</v>
      </c>
      <c r="I309" s="129" t="s">
        <v>1028</v>
      </c>
      <c r="J309" s="740">
        <f t="shared" ref="J309:J310" si="85">J$124</f>
        <v>0</v>
      </c>
      <c r="K309" s="734">
        <f t="shared" si="84"/>
        <v>0</v>
      </c>
      <c r="L309" s="722"/>
    </row>
    <row r="310" spans="1:13" s="394" customFormat="1" x14ac:dyDescent="0.2">
      <c r="A310" s="714">
        <f>IF(F310&lt;&gt;"",1+MAX($A$1:A309),"")</f>
        <v>182</v>
      </c>
      <c r="B310" s="141" t="s">
        <v>1568</v>
      </c>
      <c r="C310" s="770" t="s">
        <v>1569</v>
      </c>
      <c r="D310" s="370"/>
      <c r="E310" s="727" t="s">
        <v>1572</v>
      </c>
      <c r="F310" s="728">
        <f>2.17*1.25*F307/27-3.14*0.67*0.67*0.25*F307/27</f>
        <v>10.492889797777778</v>
      </c>
      <c r="G310" s="127">
        <v>0.1</v>
      </c>
      <c r="H310" s="128">
        <f t="shared" si="83"/>
        <v>11.542178777555558</v>
      </c>
      <c r="I310" s="129" t="s">
        <v>1028</v>
      </c>
      <c r="J310" s="740">
        <f t="shared" si="85"/>
        <v>0</v>
      </c>
      <c r="K310" s="734">
        <f t="shared" si="84"/>
        <v>0</v>
      </c>
      <c r="L310" s="722"/>
    </row>
    <row r="311" spans="1:13" s="394" customFormat="1" x14ac:dyDescent="0.2">
      <c r="A311" s="714">
        <f>IF(F311&lt;&gt;"",1+MAX($A$1:A310),"")</f>
        <v>183</v>
      </c>
      <c r="B311" s="141" t="s">
        <v>1568</v>
      </c>
      <c r="C311" s="770" t="s">
        <v>1569</v>
      </c>
      <c r="D311" s="370"/>
      <c r="E311" s="727" t="s">
        <v>1032</v>
      </c>
      <c r="F311" s="728">
        <f>F308-F309-F310-3.14*0.67*0.67*0.25*F307/27</f>
        <v>23.250858814814816</v>
      </c>
      <c r="G311" s="127">
        <v>0.1</v>
      </c>
      <c r="H311" s="128">
        <f t="shared" si="83"/>
        <v>25.5759446962963</v>
      </c>
      <c r="I311" s="129" t="s">
        <v>1028</v>
      </c>
      <c r="J311" s="740">
        <f>J$275</f>
        <v>0</v>
      </c>
      <c r="K311" s="734">
        <f t="shared" si="84"/>
        <v>0</v>
      </c>
      <c r="L311" s="722"/>
    </row>
    <row r="312" spans="1:13" x14ac:dyDescent="0.2">
      <c r="A312" s="714" t="str">
        <f>IF(F312&lt;&gt;"",1+MAX($A$1:A311),"")</f>
        <v/>
      </c>
      <c r="B312" s="141"/>
      <c r="C312" s="770"/>
      <c r="D312" s="370"/>
      <c r="E312" s="771"/>
      <c r="F312" s="728"/>
      <c r="G312" s="772"/>
      <c r="H312" s="128"/>
      <c r="I312" s="129"/>
      <c r="J312" s="762"/>
      <c r="K312" s="811"/>
      <c r="L312" s="722"/>
    </row>
    <row r="313" spans="1:13" s="394" customFormat="1" x14ac:dyDescent="0.2">
      <c r="A313" s="714">
        <f>IF(F313&lt;&gt;"",1+MAX($A$1:A312),"")</f>
        <v>184</v>
      </c>
      <c r="B313" s="141" t="s">
        <v>1568</v>
      </c>
      <c r="C313" s="770" t="s">
        <v>1569</v>
      </c>
      <c r="D313" s="370"/>
      <c r="E313" s="771" t="s">
        <v>1574</v>
      </c>
      <c r="F313" s="728">
        <v>236.31</v>
      </c>
      <c r="G313" s="127">
        <v>0.1</v>
      </c>
      <c r="H313" s="128">
        <f t="shared" ref="H313:H317" si="86">F313*(1+G313)</f>
        <v>259.94100000000003</v>
      </c>
      <c r="I313" s="129" t="s">
        <v>15</v>
      </c>
      <c r="J313" s="729">
        <v>0</v>
      </c>
      <c r="K313" s="734">
        <f t="shared" ref="K313:K317" si="87">J313*H313</f>
        <v>0</v>
      </c>
      <c r="L313" s="722"/>
    </row>
    <row r="314" spans="1:13" s="394" customFormat="1" x14ac:dyDescent="0.2">
      <c r="A314" s="714">
        <f>IF(F314&lt;&gt;"",1+MAX($A$1:A313),"")</f>
        <v>185</v>
      </c>
      <c r="B314" s="141" t="s">
        <v>1568</v>
      </c>
      <c r="C314" s="770" t="s">
        <v>1569</v>
      </c>
      <c r="D314" s="370"/>
      <c r="E314" s="727" t="s">
        <v>1031</v>
      </c>
      <c r="F314" s="728">
        <f>2*4*F313/27</f>
        <v>70.017777777777781</v>
      </c>
      <c r="G314" s="127">
        <v>0.1</v>
      </c>
      <c r="H314" s="128">
        <f t="shared" si="86"/>
        <v>77.01955555555557</v>
      </c>
      <c r="I314" s="129" t="s">
        <v>1028</v>
      </c>
      <c r="J314" s="740">
        <f>J$274</f>
        <v>0</v>
      </c>
      <c r="K314" s="734">
        <f t="shared" si="87"/>
        <v>0</v>
      </c>
      <c r="L314" s="722"/>
    </row>
    <row r="315" spans="1:13" s="394" customFormat="1" x14ac:dyDescent="0.2">
      <c r="A315" s="714">
        <f>IF(F315&lt;&gt;"",1+MAX($A$1:A314),"")</f>
        <v>186</v>
      </c>
      <c r="B315" s="141" t="s">
        <v>1568</v>
      </c>
      <c r="C315" s="770" t="s">
        <v>1569</v>
      </c>
      <c r="D315" s="370"/>
      <c r="E315" s="727" t="s">
        <v>1571</v>
      </c>
      <c r="F315" s="728">
        <f>0.34*2*F313/27</f>
        <v>5.9515111111111123</v>
      </c>
      <c r="G315" s="127">
        <v>0.1</v>
      </c>
      <c r="H315" s="128">
        <f t="shared" si="86"/>
        <v>6.5466622222222242</v>
      </c>
      <c r="I315" s="129" t="s">
        <v>1028</v>
      </c>
      <c r="J315" s="740">
        <f t="shared" ref="J315:J316" si="88">J$124</f>
        <v>0</v>
      </c>
      <c r="K315" s="734">
        <f t="shared" si="87"/>
        <v>0</v>
      </c>
      <c r="L315" s="722"/>
    </row>
    <row r="316" spans="1:13" s="394" customFormat="1" x14ac:dyDescent="0.2">
      <c r="A316" s="714">
        <f>IF(F316&lt;&gt;"",1+MAX($A$1:A315),"")</f>
        <v>187</v>
      </c>
      <c r="B316" s="141" t="s">
        <v>1568</v>
      </c>
      <c r="C316" s="770" t="s">
        <v>1569</v>
      </c>
      <c r="D316" s="370"/>
      <c r="E316" s="727" t="s">
        <v>1572</v>
      </c>
      <c r="F316" s="728">
        <f>2*1*F313/27-3.14*0.5*0.5*0.25*F313/27</f>
        <v>15.786820833333334</v>
      </c>
      <c r="G316" s="127">
        <v>0.1</v>
      </c>
      <c r="H316" s="128">
        <f t="shared" si="86"/>
        <v>17.365502916666667</v>
      </c>
      <c r="I316" s="129" t="s">
        <v>1028</v>
      </c>
      <c r="J316" s="740">
        <f t="shared" si="88"/>
        <v>0</v>
      </c>
      <c r="K316" s="734">
        <f t="shared" si="87"/>
        <v>0</v>
      </c>
      <c r="L316" s="722"/>
    </row>
    <row r="317" spans="1:13" s="394" customFormat="1" x14ac:dyDescent="0.2">
      <c r="A317" s="714">
        <f>IF(F317&lt;&gt;"",1+MAX($A$1:A316),"")</f>
        <v>188</v>
      </c>
      <c r="B317" s="141" t="s">
        <v>1568</v>
      </c>
      <c r="C317" s="770" t="s">
        <v>1569</v>
      </c>
      <c r="D317" s="370"/>
      <c r="E317" s="727" t="s">
        <v>1032</v>
      </c>
      <c r="F317" s="728">
        <f>F314-F315-F316-3.14*0.5*0.5*0.25*F313/27</f>
        <v>46.561822222222219</v>
      </c>
      <c r="G317" s="127">
        <v>0.1</v>
      </c>
      <c r="H317" s="128">
        <f t="shared" si="86"/>
        <v>51.218004444444446</v>
      </c>
      <c r="I317" s="129" t="s">
        <v>1028</v>
      </c>
      <c r="J317" s="740">
        <f>J$275</f>
        <v>0</v>
      </c>
      <c r="K317" s="734">
        <f t="shared" si="87"/>
        <v>0</v>
      </c>
      <c r="L317" s="722"/>
    </row>
    <row r="318" spans="1:13" x14ac:dyDescent="0.2">
      <c r="A318" s="714" t="str">
        <f>IF(F318&lt;&gt;"",1+MAX($A$1:A317),"")</f>
        <v/>
      </c>
      <c r="B318" s="141"/>
      <c r="C318" s="770"/>
      <c r="D318" s="370"/>
      <c r="E318" s="771"/>
      <c r="F318" s="728"/>
      <c r="G318" s="772"/>
      <c r="H318" s="128"/>
      <c r="I318" s="129"/>
      <c r="J318" s="762"/>
      <c r="K318" s="811"/>
      <c r="L318" s="722"/>
    </row>
    <row r="319" spans="1:13" s="394" customFormat="1" x14ac:dyDescent="0.2">
      <c r="A319" s="714" t="str">
        <f>IF(F319&lt;&gt;"",1+MAX($A$1:A318),"")</f>
        <v/>
      </c>
      <c r="B319" s="141"/>
      <c r="C319" s="723"/>
      <c r="D319" s="723"/>
      <c r="E319" s="769" t="s">
        <v>1575</v>
      </c>
      <c r="F319" s="738"/>
      <c r="G319" s="127"/>
      <c r="H319" s="140"/>
      <c r="I319" s="141"/>
      <c r="J319" s="762"/>
      <c r="K319" s="730"/>
      <c r="L319" s="722"/>
      <c r="M319" s="749"/>
    </row>
    <row r="320" spans="1:13" s="394" customFormat="1" x14ac:dyDescent="0.2">
      <c r="A320" s="714">
        <f>IF(F320&lt;&gt;"",1+MAX($A$1:A319),"")</f>
        <v>189</v>
      </c>
      <c r="B320" s="141" t="s">
        <v>1568</v>
      </c>
      <c r="C320" s="770" t="s">
        <v>1569</v>
      </c>
      <c r="D320" s="370"/>
      <c r="E320" s="771" t="s">
        <v>1576</v>
      </c>
      <c r="F320" s="728">
        <v>39.450000000000003</v>
      </c>
      <c r="G320" s="127">
        <v>0.1</v>
      </c>
      <c r="H320" s="128">
        <f t="shared" ref="H320:H324" si="89">F320*(1+G320)</f>
        <v>43.395000000000003</v>
      </c>
      <c r="I320" s="129" t="s">
        <v>15</v>
      </c>
      <c r="J320" s="729">
        <v>0</v>
      </c>
      <c r="K320" s="734">
        <f t="shared" ref="K320:K324" si="90">J320*H320</f>
        <v>0</v>
      </c>
      <c r="L320" s="722"/>
    </row>
    <row r="321" spans="1:13" s="394" customFormat="1" x14ac:dyDescent="0.2">
      <c r="A321" s="714">
        <f>IF(F321&lt;&gt;"",1+MAX($A$1:A320),"")</f>
        <v>190</v>
      </c>
      <c r="B321" s="141" t="s">
        <v>1568</v>
      </c>
      <c r="C321" s="770" t="s">
        <v>1569</v>
      </c>
      <c r="D321" s="370"/>
      <c r="E321" s="727" t="s">
        <v>1031</v>
      </c>
      <c r="F321" s="728">
        <f>2.5*4*F320/27</f>
        <v>14.611111111111111</v>
      </c>
      <c r="G321" s="127">
        <v>0.1</v>
      </c>
      <c r="H321" s="128">
        <f t="shared" si="89"/>
        <v>16.072222222222223</v>
      </c>
      <c r="I321" s="129" t="s">
        <v>1028</v>
      </c>
      <c r="J321" s="740">
        <f>J$274</f>
        <v>0</v>
      </c>
      <c r="K321" s="734">
        <f t="shared" si="90"/>
        <v>0</v>
      </c>
      <c r="L321" s="722"/>
    </row>
    <row r="322" spans="1:13" s="394" customFormat="1" x14ac:dyDescent="0.2">
      <c r="A322" s="714">
        <f>IF(F322&lt;&gt;"",1+MAX($A$1:A321),"")</f>
        <v>191</v>
      </c>
      <c r="B322" s="141" t="s">
        <v>1568</v>
      </c>
      <c r="C322" s="770" t="s">
        <v>1569</v>
      </c>
      <c r="D322" s="370"/>
      <c r="E322" s="727" t="s">
        <v>1571</v>
      </c>
      <c r="F322" s="728">
        <f>0.34*2.5*F320/27</f>
        <v>1.2419444444444447</v>
      </c>
      <c r="G322" s="127">
        <v>0.1</v>
      </c>
      <c r="H322" s="128">
        <f t="shared" si="89"/>
        <v>1.3661388888888892</v>
      </c>
      <c r="I322" s="129" t="s">
        <v>1028</v>
      </c>
      <c r="J322" s="740">
        <f t="shared" ref="J322:J323" si="91">J$124</f>
        <v>0</v>
      </c>
      <c r="K322" s="734">
        <f t="shared" si="90"/>
        <v>0</v>
      </c>
      <c r="L322" s="722"/>
    </row>
    <row r="323" spans="1:13" s="394" customFormat="1" x14ac:dyDescent="0.2">
      <c r="A323" s="714">
        <f>IF(F323&lt;&gt;"",1+MAX($A$1:A322),"")</f>
        <v>192</v>
      </c>
      <c r="B323" s="141" t="s">
        <v>1568</v>
      </c>
      <c r="C323" s="770" t="s">
        <v>1569</v>
      </c>
      <c r="D323" s="370"/>
      <c r="E323" s="727" t="s">
        <v>1572</v>
      </c>
      <c r="F323" s="728">
        <f>2.5*1.5*F320/27-3.14*1*1*0.25*F320/27</f>
        <v>4.3321944444444442</v>
      </c>
      <c r="G323" s="127">
        <v>0.1</v>
      </c>
      <c r="H323" s="128">
        <f t="shared" si="89"/>
        <v>4.7654138888888893</v>
      </c>
      <c r="I323" s="129" t="s">
        <v>1028</v>
      </c>
      <c r="J323" s="740">
        <f t="shared" si="91"/>
        <v>0</v>
      </c>
      <c r="K323" s="734">
        <f t="shared" si="90"/>
        <v>0</v>
      </c>
      <c r="L323" s="722"/>
    </row>
    <row r="324" spans="1:13" s="394" customFormat="1" x14ac:dyDescent="0.2">
      <c r="A324" s="714">
        <f>IF(F324&lt;&gt;"",1+MAX($A$1:A323),"")</f>
        <v>193</v>
      </c>
      <c r="B324" s="141" t="s">
        <v>1568</v>
      </c>
      <c r="C324" s="770" t="s">
        <v>1569</v>
      </c>
      <c r="D324" s="370"/>
      <c r="E324" s="727" t="s">
        <v>1032</v>
      </c>
      <c r="F324" s="728">
        <f>F321-F322-F323-3.14*1*1*0.25*F320/27</f>
        <v>7.8899999999999988</v>
      </c>
      <c r="G324" s="127">
        <v>0.1</v>
      </c>
      <c r="H324" s="128">
        <f t="shared" si="89"/>
        <v>8.6789999999999985</v>
      </c>
      <c r="I324" s="129" t="s">
        <v>1028</v>
      </c>
      <c r="J324" s="740">
        <f>J$275</f>
        <v>0</v>
      </c>
      <c r="K324" s="734">
        <f t="shared" si="90"/>
        <v>0</v>
      </c>
      <c r="L324" s="722"/>
    </row>
    <row r="325" spans="1:13" x14ac:dyDescent="0.2">
      <c r="A325" s="714" t="str">
        <f>IF(F325&lt;&gt;"",1+MAX($A$1:A324),"")</f>
        <v/>
      </c>
      <c r="B325" s="141"/>
      <c r="C325" s="770"/>
      <c r="D325" s="370"/>
      <c r="E325" s="771"/>
      <c r="F325" s="728"/>
      <c r="G325" s="772"/>
      <c r="H325" s="128"/>
      <c r="I325" s="129"/>
      <c r="J325" s="762"/>
      <c r="K325" s="811"/>
      <c r="L325" s="722"/>
    </row>
    <row r="326" spans="1:13" s="394" customFormat="1" x14ac:dyDescent="0.2">
      <c r="A326" s="714" t="str">
        <f>IF(F326&lt;&gt;"",1+MAX($A$1:A325),"")</f>
        <v/>
      </c>
      <c r="B326" s="141"/>
      <c r="C326" s="723"/>
      <c r="D326" s="723"/>
      <c r="E326" s="769" t="s">
        <v>1577</v>
      </c>
      <c r="F326" s="738"/>
      <c r="G326" s="127"/>
      <c r="H326" s="140"/>
      <c r="I326" s="141"/>
      <c r="J326" s="762"/>
      <c r="K326" s="730"/>
      <c r="L326" s="722"/>
      <c r="M326" s="749"/>
    </row>
    <row r="327" spans="1:13" s="394" customFormat="1" ht="63" x14ac:dyDescent="0.2">
      <c r="A327" s="714">
        <f>IF(F327&lt;&gt;"",1+MAX($A$1:A326),"")</f>
        <v>194</v>
      </c>
      <c r="B327" s="141" t="s">
        <v>1568</v>
      </c>
      <c r="C327" s="770" t="s">
        <v>1569</v>
      </c>
      <c r="D327" s="370"/>
      <c r="E327" s="727" t="s">
        <v>1578</v>
      </c>
      <c r="F327" s="728">
        <v>20</v>
      </c>
      <c r="G327" s="127">
        <v>0</v>
      </c>
      <c r="H327" s="128">
        <f t="shared" ref="H327:H328" si="92">F327*(1+G327)</f>
        <v>20</v>
      </c>
      <c r="I327" s="129" t="s">
        <v>20</v>
      </c>
      <c r="J327" s="729">
        <v>0</v>
      </c>
      <c r="K327" s="734">
        <f t="shared" ref="K327:K328" si="93">J327*H327</f>
        <v>0</v>
      </c>
      <c r="L327" s="722"/>
    </row>
    <row r="328" spans="1:13" s="394" customFormat="1" ht="63" x14ac:dyDescent="0.2">
      <c r="A328" s="714">
        <f>IF(F328&lt;&gt;"",1+MAX($A$1:A327),"")</f>
        <v>195</v>
      </c>
      <c r="B328" s="141" t="s">
        <v>1568</v>
      </c>
      <c r="C328" s="770" t="s">
        <v>1569</v>
      </c>
      <c r="D328" s="370"/>
      <c r="E328" s="727" t="s">
        <v>1579</v>
      </c>
      <c r="F328" s="728">
        <v>4</v>
      </c>
      <c r="G328" s="127">
        <v>0</v>
      </c>
      <c r="H328" s="128">
        <f t="shared" si="92"/>
        <v>4</v>
      </c>
      <c r="I328" s="129" t="s">
        <v>20</v>
      </c>
      <c r="J328" s="729">
        <v>0</v>
      </c>
      <c r="K328" s="734">
        <f t="shared" si="93"/>
        <v>0</v>
      </c>
      <c r="L328" s="722"/>
    </row>
    <row r="329" spans="1:13" x14ac:dyDescent="0.2">
      <c r="A329" s="714" t="str">
        <f>IF(F329&lt;&gt;"",1+MAX($A$1:A328),"")</f>
        <v/>
      </c>
      <c r="B329" s="141"/>
      <c r="C329" s="770"/>
      <c r="D329" s="370"/>
      <c r="E329" s="771"/>
      <c r="F329" s="728"/>
      <c r="G329" s="772"/>
      <c r="H329" s="128"/>
      <c r="I329" s="129"/>
      <c r="J329" s="762"/>
      <c r="K329" s="811"/>
      <c r="L329" s="722"/>
    </row>
    <row r="330" spans="1:13" s="394" customFormat="1" x14ac:dyDescent="0.2">
      <c r="A330" s="714" t="str">
        <f>IF(F330&lt;&gt;"",1+MAX($A$1:A329),"")</f>
        <v/>
      </c>
      <c r="B330" s="141"/>
      <c r="C330" s="723"/>
      <c r="D330" s="723"/>
      <c r="E330" s="769" t="s">
        <v>1580</v>
      </c>
      <c r="F330" s="738"/>
      <c r="G330" s="127"/>
      <c r="H330" s="140"/>
      <c r="I330" s="141"/>
      <c r="J330" s="762"/>
      <c r="K330" s="730"/>
      <c r="L330" s="722"/>
      <c r="M330" s="749"/>
    </row>
    <row r="331" spans="1:13" s="394" customFormat="1" ht="63" x14ac:dyDescent="0.2">
      <c r="A331" s="714">
        <f>IF(F331&lt;&gt;"",1+MAX($A$1:A330),"")</f>
        <v>196</v>
      </c>
      <c r="B331" s="141" t="s">
        <v>1568</v>
      </c>
      <c r="C331" s="770" t="s">
        <v>1569</v>
      </c>
      <c r="D331" s="370"/>
      <c r="E331" s="727" t="s">
        <v>1581</v>
      </c>
      <c r="F331" s="728">
        <v>1</v>
      </c>
      <c r="G331" s="127">
        <v>0</v>
      </c>
      <c r="H331" s="128">
        <f t="shared" ref="H331:H335" si="94">F331*(1+G331)</f>
        <v>1</v>
      </c>
      <c r="I331" s="129" t="s">
        <v>20</v>
      </c>
      <c r="J331" s="729">
        <v>0</v>
      </c>
      <c r="K331" s="734">
        <f t="shared" ref="K331:K335" si="95">J331*H331</f>
        <v>0</v>
      </c>
      <c r="L331" s="722"/>
    </row>
    <row r="332" spans="1:13" s="394" customFormat="1" x14ac:dyDescent="0.2">
      <c r="A332" s="714">
        <f>IF(F332&lt;&gt;"",1+MAX($A$1:A331),"")</f>
        <v>197</v>
      </c>
      <c r="B332" s="141" t="s">
        <v>1568</v>
      </c>
      <c r="C332" s="770" t="s">
        <v>1569</v>
      </c>
      <c r="D332" s="370"/>
      <c r="E332" s="727" t="s">
        <v>1031</v>
      </c>
      <c r="F332" s="728">
        <f>3.14*5*5*0.25*17/27+3.14*4*4*0.25*25/27</f>
        <v>23.986111111111111</v>
      </c>
      <c r="G332" s="127">
        <v>0.1</v>
      </c>
      <c r="H332" s="128">
        <f t="shared" si="94"/>
        <v>26.384722222222223</v>
      </c>
      <c r="I332" s="129" t="s">
        <v>1028</v>
      </c>
      <c r="J332" s="740">
        <f>J$274</f>
        <v>0</v>
      </c>
      <c r="K332" s="734">
        <f t="shared" si="95"/>
        <v>0</v>
      </c>
      <c r="L332" s="722"/>
    </row>
    <row r="333" spans="1:13" s="394" customFormat="1" x14ac:dyDescent="0.2">
      <c r="A333" s="714">
        <f>IF(F333&lt;&gt;"",1+MAX($A$1:A332),"")</f>
        <v>198</v>
      </c>
      <c r="B333" s="141" t="s">
        <v>1568</v>
      </c>
      <c r="C333" s="770" t="s">
        <v>1569</v>
      </c>
      <c r="D333" s="370"/>
      <c r="E333" s="727" t="s">
        <v>1582</v>
      </c>
      <c r="F333" s="728">
        <f>3.14*5*5*0.25*17/27-3.14*4*4*0.25*17/27</f>
        <v>4.4483333333333324</v>
      </c>
      <c r="G333" s="127">
        <v>0.1</v>
      </c>
      <c r="H333" s="128">
        <f t="shared" si="94"/>
        <v>4.8931666666666658</v>
      </c>
      <c r="I333" s="129" t="s">
        <v>1028</v>
      </c>
      <c r="J333" s="729">
        <v>0</v>
      </c>
      <c r="K333" s="734">
        <f t="shared" si="95"/>
        <v>0</v>
      </c>
      <c r="L333" s="722"/>
    </row>
    <row r="334" spans="1:13" s="394" customFormat="1" x14ac:dyDescent="0.2">
      <c r="A334" s="714">
        <f>IF(F334&lt;&gt;"",1+MAX($A$1:A333),"")</f>
        <v>199</v>
      </c>
      <c r="B334" s="141" t="s">
        <v>1568</v>
      </c>
      <c r="C334" s="770" t="s">
        <v>1569</v>
      </c>
      <c r="D334" s="370"/>
      <c r="E334" s="727" t="s">
        <v>1583</v>
      </c>
      <c r="F334" s="728">
        <f>3.14*4*4*0.25*25/27</f>
        <v>11.62962962962963</v>
      </c>
      <c r="G334" s="127">
        <v>0.1</v>
      </c>
      <c r="H334" s="128">
        <f t="shared" si="94"/>
        <v>12.792592592592595</v>
      </c>
      <c r="I334" s="129" t="s">
        <v>1028</v>
      </c>
      <c r="J334" s="740">
        <f>J$124</f>
        <v>0</v>
      </c>
      <c r="K334" s="734">
        <f t="shared" si="95"/>
        <v>0</v>
      </c>
      <c r="L334" s="722"/>
    </row>
    <row r="335" spans="1:13" s="394" customFormat="1" x14ac:dyDescent="0.2">
      <c r="A335" s="714">
        <f>IF(F335&lt;&gt;"",1+MAX($A$1:A334),"")</f>
        <v>200</v>
      </c>
      <c r="B335" s="141" t="s">
        <v>1568</v>
      </c>
      <c r="C335" s="770" t="s">
        <v>1569</v>
      </c>
      <c r="D335" s="370"/>
      <c r="E335" s="727" t="s">
        <v>1584</v>
      </c>
      <c r="F335" s="728">
        <f>3.14*5*17+3.14*4*25</f>
        <v>580.90000000000009</v>
      </c>
      <c r="G335" s="127">
        <v>0.1</v>
      </c>
      <c r="H335" s="128">
        <f t="shared" si="94"/>
        <v>638.99000000000012</v>
      </c>
      <c r="I335" s="129" t="s">
        <v>18</v>
      </c>
      <c r="J335" s="729">
        <v>0</v>
      </c>
      <c r="K335" s="734">
        <f t="shared" si="95"/>
        <v>0</v>
      </c>
      <c r="L335" s="722"/>
    </row>
    <row r="336" spans="1:13" x14ac:dyDescent="0.2">
      <c r="A336" s="714" t="str">
        <f>IF(F336&lt;&gt;"",1+MAX($A$1:A335),"")</f>
        <v/>
      </c>
      <c r="B336" s="141"/>
      <c r="C336" s="770"/>
      <c r="D336" s="370"/>
      <c r="E336" s="769"/>
      <c r="F336" s="728"/>
      <c r="G336" s="772"/>
      <c r="H336" s="128"/>
      <c r="I336" s="129"/>
      <c r="J336" s="762"/>
      <c r="K336" s="773"/>
      <c r="L336" s="722"/>
    </row>
    <row r="337" spans="1:13" x14ac:dyDescent="0.2">
      <c r="A337" s="714" t="str">
        <f>IF(F337&lt;&gt;"",1+MAX($A$1:A336),"")</f>
        <v/>
      </c>
      <c r="B337" s="141"/>
      <c r="C337" s="770"/>
      <c r="D337" s="370"/>
      <c r="E337" s="769" t="s">
        <v>1585</v>
      </c>
      <c r="F337" s="728"/>
      <c r="G337" s="772"/>
      <c r="H337" s="128"/>
      <c r="I337" s="129"/>
      <c r="J337" s="774"/>
      <c r="K337" s="811"/>
      <c r="L337" s="722"/>
    </row>
    <row r="338" spans="1:13" s="394" customFormat="1" ht="47.25" x14ac:dyDescent="0.2">
      <c r="A338" s="714">
        <f>IF(F338&lt;&gt;"",1+MAX($A$1:A337),"")</f>
        <v>201</v>
      </c>
      <c r="B338" s="141" t="s">
        <v>1568</v>
      </c>
      <c r="C338" s="770" t="s">
        <v>1569</v>
      </c>
      <c r="D338" s="370"/>
      <c r="E338" s="727" t="s">
        <v>1586</v>
      </c>
      <c r="F338" s="728">
        <v>1</v>
      </c>
      <c r="G338" s="127">
        <v>0</v>
      </c>
      <c r="H338" s="128">
        <f t="shared" ref="H338:H339" si="96">F338*(1+G338)</f>
        <v>1</v>
      </c>
      <c r="I338" s="129" t="s">
        <v>20</v>
      </c>
      <c r="J338" s="729">
        <v>0</v>
      </c>
      <c r="K338" s="734">
        <f t="shared" ref="K338:K339" si="97">J338*H338</f>
        <v>0</v>
      </c>
      <c r="L338" s="722"/>
    </row>
    <row r="339" spans="1:13" s="394" customFormat="1" x14ac:dyDescent="0.2">
      <c r="A339" s="714">
        <f>IF(F339&lt;&gt;"",1+MAX($A$1:A338),"")</f>
        <v>202</v>
      </c>
      <c r="B339" s="141" t="s">
        <v>1568</v>
      </c>
      <c r="C339" s="770" t="s">
        <v>1569</v>
      </c>
      <c r="D339" s="370"/>
      <c r="E339" s="727" t="s">
        <v>1031</v>
      </c>
      <c r="F339" s="728">
        <f>3*3*8.5/27</f>
        <v>2.8333333333333335</v>
      </c>
      <c r="G339" s="127">
        <v>0.1</v>
      </c>
      <c r="H339" s="128">
        <f t="shared" si="96"/>
        <v>3.1166666666666671</v>
      </c>
      <c r="I339" s="129" t="s">
        <v>1028</v>
      </c>
      <c r="J339" s="740">
        <f>J$274</f>
        <v>0</v>
      </c>
      <c r="K339" s="734">
        <f t="shared" si="97"/>
        <v>0</v>
      </c>
      <c r="L339" s="722"/>
    </row>
    <row r="340" spans="1:13" x14ac:dyDescent="0.2">
      <c r="A340" s="714" t="str">
        <f>IF(F340&lt;&gt;"",1+MAX($A$1:A339),"")</f>
        <v/>
      </c>
      <c r="B340" s="141"/>
      <c r="C340" s="770"/>
      <c r="D340" s="370"/>
      <c r="E340" s="771"/>
      <c r="F340" s="728"/>
      <c r="G340" s="772"/>
      <c r="H340" s="128"/>
      <c r="I340" s="129"/>
      <c r="J340" s="762"/>
      <c r="K340" s="811"/>
      <c r="L340" s="722"/>
    </row>
    <row r="341" spans="1:13" x14ac:dyDescent="0.2">
      <c r="A341" s="714" t="str">
        <f>IF(F341&lt;&gt;"",1+MAX($A$1:A340),"")</f>
        <v/>
      </c>
      <c r="B341" s="141"/>
      <c r="C341" s="770"/>
      <c r="D341" s="370"/>
      <c r="E341" s="769" t="s">
        <v>1587</v>
      </c>
      <c r="F341" s="728"/>
      <c r="G341" s="772"/>
      <c r="H341" s="128"/>
      <c r="I341" s="129"/>
      <c r="J341" s="762"/>
      <c r="K341" s="811"/>
      <c r="L341" s="722"/>
    </row>
    <row r="342" spans="1:13" s="394" customFormat="1" ht="78.75" x14ac:dyDescent="0.2">
      <c r="A342" s="714">
        <f>IF(F342&lt;&gt;"",1+MAX($A$1:A341),"")</f>
        <v>203</v>
      </c>
      <c r="B342" s="141" t="s">
        <v>1568</v>
      </c>
      <c r="C342" s="770" t="s">
        <v>1569</v>
      </c>
      <c r="D342" s="370"/>
      <c r="E342" s="727" t="s">
        <v>1588</v>
      </c>
      <c r="F342" s="728">
        <v>11</v>
      </c>
      <c r="G342" s="127">
        <v>0.1</v>
      </c>
      <c r="H342" s="128">
        <f t="shared" ref="H342:H343" si="98">F342*(1+G342)</f>
        <v>12.100000000000001</v>
      </c>
      <c r="I342" s="129" t="s">
        <v>15</v>
      </c>
      <c r="J342" s="729">
        <v>0</v>
      </c>
      <c r="K342" s="734">
        <f t="shared" ref="K342:K343" si="99">J342*H342</f>
        <v>0</v>
      </c>
      <c r="L342" s="722"/>
    </row>
    <row r="343" spans="1:13" s="394" customFormat="1" x14ac:dyDescent="0.2">
      <c r="A343" s="714">
        <f>IF(F343&lt;&gt;"",1+MAX($A$1:A342),"")</f>
        <v>204</v>
      </c>
      <c r="B343" s="141" t="s">
        <v>1568</v>
      </c>
      <c r="C343" s="770" t="s">
        <v>1569</v>
      </c>
      <c r="D343" s="370"/>
      <c r="E343" s="727" t="s">
        <v>1031</v>
      </c>
      <c r="F343" s="728">
        <f>11*2*1/27</f>
        <v>0.81481481481481477</v>
      </c>
      <c r="G343" s="127">
        <v>0.1</v>
      </c>
      <c r="H343" s="128">
        <f t="shared" si="98"/>
        <v>0.89629629629629637</v>
      </c>
      <c r="I343" s="129" t="s">
        <v>1028</v>
      </c>
      <c r="J343" s="740">
        <f>J$274</f>
        <v>0</v>
      </c>
      <c r="K343" s="734">
        <f t="shared" si="99"/>
        <v>0</v>
      </c>
      <c r="L343" s="722"/>
    </row>
    <row r="344" spans="1:13" x14ac:dyDescent="0.2">
      <c r="A344" s="714" t="str">
        <f>IF(F344&lt;&gt;"",1+MAX($A$1:A343),"")</f>
        <v/>
      </c>
      <c r="B344" s="141"/>
      <c r="C344" s="770"/>
      <c r="D344" s="370"/>
      <c r="E344" s="771"/>
      <c r="F344" s="728"/>
      <c r="G344" s="772"/>
      <c r="H344" s="128"/>
      <c r="I344" s="129"/>
      <c r="J344" s="762"/>
      <c r="K344" s="811"/>
      <c r="L344" s="722"/>
    </row>
    <row r="345" spans="1:13" s="394" customFormat="1" x14ac:dyDescent="0.2">
      <c r="A345" s="714" t="str">
        <f>IF(F345&lt;&gt;"",1+MAX($A$1:A344),"")</f>
        <v/>
      </c>
      <c r="B345" s="141"/>
      <c r="C345" s="723"/>
      <c r="D345" s="723"/>
      <c r="E345" s="769" t="s">
        <v>1589</v>
      </c>
      <c r="F345" s="738"/>
      <c r="G345" s="127"/>
      <c r="H345" s="140"/>
      <c r="I345" s="141"/>
      <c r="J345" s="762"/>
      <c r="K345" s="730"/>
      <c r="L345" s="722"/>
      <c r="M345" s="749"/>
    </row>
    <row r="346" spans="1:13" s="394" customFormat="1" x14ac:dyDescent="0.2">
      <c r="A346" s="714">
        <f>IF(F346&lt;&gt;"",1+MAX($A$1:A345),"")</f>
        <v>205</v>
      </c>
      <c r="B346" s="141" t="s">
        <v>1568</v>
      </c>
      <c r="C346" s="770"/>
      <c r="D346" s="370"/>
      <c r="E346" s="727" t="s">
        <v>1590</v>
      </c>
      <c r="F346" s="728">
        <v>2</v>
      </c>
      <c r="G346" s="127">
        <v>0</v>
      </c>
      <c r="H346" s="128">
        <f t="shared" ref="H346:H351" si="100">F346*(1+G346)</f>
        <v>2</v>
      </c>
      <c r="I346" s="129" t="s">
        <v>20</v>
      </c>
      <c r="J346" s="729">
        <v>0</v>
      </c>
      <c r="K346" s="734">
        <f t="shared" ref="K346:K351" si="101">J346*H346</f>
        <v>0</v>
      </c>
      <c r="L346" s="722"/>
    </row>
    <row r="347" spans="1:13" s="394" customFormat="1" x14ac:dyDescent="0.2">
      <c r="A347" s="714">
        <f>IF(F347&lt;&gt;"",1+MAX($A$1:A346),"")</f>
        <v>206</v>
      </c>
      <c r="B347" s="141" t="s">
        <v>1568</v>
      </c>
      <c r="C347" s="770"/>
      <c r="D347" s="370"/>
      <c r="E347" s="727" t="s">
        <v>1591</v>
      </c>
      <c r="F347" s="728">
        <v>1</v>
      </c>
      <c r="G347" s="127">
        <v>0</v>
      </c>
      <c r="H347" s="128">
        <f t="shared" si="100"/>
        <v>1</v>
      </c>
      <c r="I347" s="129" t="s">
        <v>20</v>
      </c>
      <c r="J347" s="729">
        <v>0</v>
      </c>
      <c r="K347" s="734">
        <f t="shared" si="101"/>
        <v>0</v>
      </c>
      <c r="L347" s="722"/>
    </row>
    <row r="348" spans="1:13" s="394" customFormat="1" x14ac:dyDescent="0.2">
      <c r="A348" s="714">
        <f>IF(F348&lt;&gt;"",1+MAX($A$1:A347),"")</f>
        <v>207</v>
      </c>
      <c r="B348" s="141" t="s">
        <v>1568</v>
      </c>
      <c r="C348" s="770"/>
      <c r="D348" s="370"/>
      <c r="E348" s="775" t="s">
        <v>1592</v>
      </c>
      <c r="F348" s="728">
        <v>1</v>
      </c>
      <c r="G348" s="127">
        <v>0</v>
      </c>
      <c r="H348" s="128">
        <f t="shared" si="100"/>
        <v>1</v>
      </c>
      <c r="I348" s="129" t="s">
        <v>20</v>
      </c>
      <c r="J348" s="729">
        <v>0</v>
      </c>
      <c r="K348" s="734">
        <f t="shared" si="101"/>
        <v>0</v>
      </c>
      <c r="L348" s="722"/>
    </row>
    <row r="349" spans="1:13" s="394" customFormat="1" ht="31.5" x14ac:dyDescent="0.2">
      <c r="A349" s="714">
        <f>IF(F349&lt;&gt;"",1+MAX($A$1:A348),"")</f>
        <v>208</v>
      </c>
      <c r="B349" s="141" t="s">
        <v>1568</v>
      </c>
      <c r="C349" s="770"/>
      <c r="D349" s="370"/>
      <c r="E349" s="727" t="s">
        <v>1593</v>
      </c>
      <c r="F349" s="728">
        <v>1</v>
      </c>
      <c r="G349" s="127">
        <v>0</v>
      </c>
      <c r="H349" s="128">
        <f t="shared" si="100"/>
        <v>1</v>
      </c>
      <c r="I349" s="129" t="s">
        <v>20</v>
      </c>
      <c r="J349" s="729">
        <v>0</v>
      </c>
      <c r="K349" s="734">
        <f t="shared" si="101"/>
        <v>0</v>
      </c>
      <c r="L349" s="722"/>
    </row>
    <row r="350" spans="1:13" s="394" customFormat="1" x14ac:dyDescent="0.2">
      <c r="A350" s="714">
        <f>IF(F350&lt;&gt;"",1+MAX($A$1:A349),"")</f>
        <v>209</v>
      </c>
      <c r="B350" s="141" t="s">
        <v>1568</v>
      </c>
      <c r="C350" s="770"/>
      <c r="D350" s="370"/>
      <c r="E350" s="727" t="s">
        <v>1594</v>
      </c>
      <c r="F350" s="728">
        <v>19</v>
      </c>
      <c r="G350" s="127">
        <v>0.1</v>
      </c>
      <c r="H350" s="128">
        <f t="shared" si="100"/>
        <v>20.900000000000002</v>
      </c>
      <c r="I350" s="129" t="s">
        <v>15</v>
      </c>
      <c r="J350" s="729">
        <v>0</v>
      </c>
      <c r="K350" s="734">
        <f t="shared" si="101"/>
        <v>0</v>
      </c>
      <c r="L350" s="722"/>
    </row>
    <row r="351" spans="1:13" s="394" customFormat="1" x14ac:dyDescent="0.2">
      <c r="A351" s="714">
        <f>IF(F351&lt;&gt;"",1+MAX($A$1:A350),"")</f>
        <v>210</v>
      </c>
      <c r="B351" s="141" t="s">
        <v>1595</v>
      </c>
      <c r="C351" s="770"/>
      <c r="D351" s="370"/>
      <c r="E351" s="727" t="s">
        <v>1596</v>
      </c>
      <c r="F351" s="728">
        <v>33</v>
      </c>
      <c r="G351" s="127">
        <v>0</v>
      </c>
      <c r="H351" s="128">
        <f t="shared" si="100"/>
        <v>33</v>
      </c>
      <c r="I351" s="129" t="s">
        <v>20</v>
      </c>
      <c r="J351" s="729">
        <v>0</v>
      </c>
      <c r="K351" s="734">
        <f t="shared" si="101"/>
        <v>0</v>
      </c>
      <c r="L351" s="722"/>
    </row>
    <row r="352" spans="1:13" ht="16.5" thickBot="1" x14ac:dyDescent="0.25">
      <c r="A352" s="714" t="str">
        <f>IF(F352&lt;&gt;"",1+MAX($A$1:A351),"")</f>
        <v/>
      </c>
      <c r="B352" s="141"/>
      <c r="C352" s="723"/>
      <c r="D352" s="368"/>
      <c r="E352" s="813"/>
      <c r="F352" s="573"/>
      <c r="G352" s="574"/>
      <c r="H352" s="573"/>
      <c r="I352" s="575"/>
      <c r="J352" s="741"/>
      <c r="K352" s="577"/>
      <c r="L352" s="578"/>
    </row>
    <row r="353" spans="1:13" ht="16.5" thickBot="1" x14ac:dyDescent="0.25">
      <c r="A353" s="714" t="str">
        <f>IF(F353&lt;&gt;"",1+MAX($A$1:A352),"")</f>
        <v/>
      </c>
      <c r="B353" s="726"/>
      <c r="C353" s="726"/>
      <c r="D353" s="370"/>
      <c r="E353" s="742" t="s">
        <v>1597</v>
      </c>
      <c r="F353" s="738"/>
      <c r="G353" s="743"/>
      <c r="H353" s="128"/>
      <c r="I353" s="129"/>
      <c r="J353" s="744"/>
      <c r="K353" s="69"/>
      <c r="L353" s="49">
        <f>SUM(K299:K352)</f>
        <v>0</v>
      </c>
      <c r="M353" s="745"/>
    </row>
    <row r="354" spans="1:13" s="394" customFormat="1" ht="16.5" thickBot="1" x14ac:dyDescent="0.25">
      <c r="A354" s="714" t="str">
        <f>IF(F354&lt;&gt;"",1+MAX($A$1:A353),"")</f>
        <v/>
      </c>
      <c r="B354" s="141"/>
      <c r="C354" s="723"/>
      <c r="D354" s="123"/>
      <c r="E354" s="750"/>
      <c r="F354" s="728"/>
      <c r="G354" s="431"/>
      <c r="H354" s="140"/>
      <c r="I354" s="141"/>
      <c r="J354" s="731"/>
      <c r="K354" s="730"/>
      <c r="L354" s="722"/>
      <c r="M354" s="706"/>
    </row>
    <row r="355" spans="1:13" ht="16.5" thickBot="1" x14ac:dyDescent="0.25">
      <c r="A355" s="714" t="str">
        <f>IF(F355&lt;&gt;"",1+MAX($A$1:A354),"")</f>
        <v/>
      </c>
      <c r="B355" s="141"/>
      <c r="C355" s="123"/>
      <c r="D355" s="370"/>
      <c r="E355" s="561" t="s">
        <v>1598</v>
      </c>
      <c r="F355" s="537"/>
      <c r="G355" s="718"/>
      <c r="H355" s="719"/>
      <c r="I355" s="720"/>
      <c r="J355" s="762"/>
      <c r="K355" s="811"/>
      <c r="L355" s="722"/>
    </row>
    <row r="356" spans="1:13" s="394" customFormat="1" x14ac:dyDescent="0.2">
      <c r="A356" s="714">
        <f>IF(F356&lt;&gt;"",1+MAX($A$1:A355),"")</f>
        <v>211</v>
      </c>
      <c r="B356" s="141" t="s">
        <v>1412</v>
      </c>
      <c r="C356" s="757" t="s">
        <v>437</v>
      </c>
      <c r="D356" s="370"/>
      <c r="E356" s="771" t="s">
        <v>1599</v>
      </c>
      <c r="F356" s="728">
        <v>46.99</v>
      </c>
      <c r="G356" s="127">
        <v>0.1</v>
      </c>
      <c r="H356" s="128">
        <f t="shared" ref="H356:H360" si="102">F356*(1+G356)</f>
        <v>51.689000000000007</v>
      </c>
      <c r="I356" s="129" t="s">
        <v>15</v>
      </c>
      <c r="J356" s="729">
        <v>0</v>
      </c>
      <c r="K356" s="734">
        <f t="shared" ref="K356:K360" si="103">J356*H356</f>
        <v>0</v>
      </c>
      <c r="L356" s="722"/>
    </row>
    <row r="357" spans="1:13" s="394" customFormat="1" x14ac:dyDescent="0.2">
      <c r="A357" s="714">
        <f>IF(F357&lt;&gt;"",1+MAX($A$1:A356),"")</f>
        <v>212</v>
      </c>
      <c r="B357" s="141" t="s">
        <v>1412</v>
      </c>
      <c r="C357" s="757" t="s">
        <v>437</v>
      </c>
      <c r="D357" s="370"/>
      <c r="E357" s="727" t="s">
        <v>1031</v>
      </c>
      <c r="F357" s="728">
        <f>2*7*F356/27</f>
        <v>24.365185185185187</v>
      </c>
      <c r="G357" s="127">
        <v>0.1</v>
      </c>
      <c r="H357" s="128">
        <f t="shared" si="102"/>
        <v>26.801703703703708</v>
      </c>
      <c r="I357" s="129" t="s">
        <v>1028</v>
      </c>
      <c r="J357" s="740">
        <f>J$274</f>
        <v>0</v>
      </c>
      <c r="K357" s="734">
        <f t="shared" si="103"/>
        <v>0</v>
      </c>
      <c r="L357" s="722"/>
    </row>
    <row r="358" spans="1:13" s="394" customFormat="1" x14ac:dyDescent="0.2">
      <c r="A358" s="714">
        <f>IF(F358&lt;&gt;"",1+MAX($A$1:A357),"")</f>
        <v>213</v>
      </c>
      <c r="B358" s="141" t="s">
        <v>1412</v>
      </c>
      <c r="C358" s="757" t="s">
        <v>437</v>
      </c>
      <c r="D358" s="370"/>
      <c r="E358" s="727" t="s">
        <v>1571</v>
      </c>
      <c r="F358" s="728">
        <f>2*1.5*F356/27-3.14*0.5*0.5*0.25*F356/27</f>
        <v>4.8795634259259257</v>
      </c>
      <c r="G358" s="127">
        <v>0.1</v>
      </c>
      <c r="H358" s="128">
        <f t="shared" si="102"/>
        <v>5.3675197685185188</v>
      </c>
      <c r="I358" s="129" t="s">
        <v>1028</v>
      </c>
      <c r="J358" s="740">
        <f>J$124</f>
        <v>0</v>
      </c>
      <c r="K358" s="734">
        <f t="shared" si="103"/>
        <v>0</v>
      </c>
      <c r="L358" s="722"/>
    </row>
    <row r="359" spans="1:13" s="394" customFormat="1" x14ac:dyDescent="0.2">
      <c r="A359" s="714">
        <f>IF(F359&lt;&gt;"",1+MAX($A$1:A358),"")</f>
        <v>214</v>
      </c>
      <c r="B359" s="141" t="s">
        <v>1412</v>
      </c>
      <c r="C359" s="757" t="s">
        <v>437</v>
      </c>
      <c r="D359" s="370"/>
      <c r="E359" s="727" t="s">
        <v>1032</v>
      </c>
      <c r="F359" s="728">
        <f>F357-F358-3.14*0.5*0.5*0.25*F356/27</f>
        <v>19.144074074074076</v>
      </c>
      <c r="G359" s="127">
        <v>0.1</v>
      </c>
      <c r="H359" s="128">
        <f t="shared" si="102"/>
        <v>21.058481481481486</v>
      </c>
      <c r="I359" s="129" t="s">
        <v>1028</v>
      </c>
      <c r="J359" s="740">
        <f>J$275</f>
        <v>0</v>
      </c>
      <c r="K359" s="734">
        <f t="shared" si="103"/>
        <v>0</v>
      </c>
      <c r="L359" s="722"/>
    </row>
    <row r="360" spans="1:13" s="394" customFormat="1" x14ac:dyDescent="0.2">
      <c r="A360" s="714">
        <f>IF(F360&lt;&gt;"",1+MAX($A$1:A359),"")</f>
        <v>215</v>
      </c>
      <c r="B360" s="141" t="s">
        <v>1412</v>
      </c>
      <c r="C360" s="757" t="s">
        <v>437</v>
      </c>
      <c r="D360" s="370"/>
      <c r="E360" s="727" t="s">
        <v>1600</v>
      </c>
      <c r="F360" s="728">
        <f>F356*7*2</f>
        <v>657.86</v>
      </c>
      <c r="G360" s="127">
        <v>0.1</v>
      </c>
      <c r="H360" s="128">
        <f t="shared" si="102"/>
        <v>723.64600000000007</v>
      </c>
      <c r="I360" s="129" t="s">
        <v>18</v>
      </c>
      <c r="J360" s="729">
        <v>0</v>
      </c>
      <c r="K360" s="734">
        <f t="shared" si="103"/>
        <v>0</v>
      </c>
      <c r="L360" s="722"/>
    </row>
    <row r="361" spans="1:13" x14ac:dyDescent="0.2">
      <c r="A361" s="714" t="str">
        <f>IF(F361&lt;&gt;"",1+MAX($A$1:A360),"")</f>
        <v/>
      </c>
      <c r="B361" s="141"/>
      <c r="C361" s="770"/>
      <c r="D361" s="370"/>
      <c r="E361" s="776"/>
      <c r="F361" s="728"/>
      <c r="G361" s="772"/>
      <c r="H361" s="128"/>
      <c r="I361" s="129"/>
      <c r="J361" s="762"/>
      <c r="K361" s="811"/>
      <c r="L361" s="722"/>
    </row>
    <row r="362" spans="1:13" s="394" customFormat="1" x14ac:dyDescent="0.2">
      <c r="A362" s="714">
        <f>IF(F362&lt;&gt;"",1+MAX($A$1:A361),"")</f>
        <v>216</v>
      </c>
      <c r="B362" s="141" t="s">
        <v>1412</v>
      </c>
      <c r="C362" s="757" t="s">
        <v>437</v>
      </c>
      <c r="D362" s="370"/>
      <c r="E362" s="771" t="s">
        <v>1601</v>
      </c>
      <c r="F362" s="728">
        <v>164.47</v>
      </c>
      <c r="G362" s="127">
        <v>0.1</v>
      </c>
      <c r="H362" s="128">
        <f t="shared" ref="H362:H366" si="104">F362*(1+G362)</f>
        <v>180.917</v>
      </c>
      <c r="I362" s="129" t="s">
        <v>15</v>
      </c>
      <c r="J362" s="729">
        <v>0</v>
      </c>
      <c r="K362" s="734">
        <f t="shared" ref="K362:K366" si="105">J362*H362</f>
        <v>0</v>
      </c>
      <c r="L362" s="722"/>
    </row>
    <row r="363" spans="1:13" s="394" customFormat="1" x14ac:dyDescent="0.2">
      <c r="A363" s="714">
        <f>IF(F363&lt;&gt;"",1+MAX($A$1:A362),"")</f>
        <v>217</v>
      </c>
      <c r="B363" s="141" t="s">
        <v>1412</v>
      </c>
      <c r="C363" s="757" t="s">
        <v>437</v>
      </c>
      <c r="D363" s="370"/>
      <c r="E363" s="727" t="s">
        <v>1031</v>
      </c>
      <c r="F363" s="728">
        <f>3*11*F362/27</f>
        <v>201.01888888888891</v>
      </c>
      <c r="G363" s="127">
        <v>0.1</v>
      </c>
      <c r="H363" s="128">
        <f t="shared" si="104"/>
        <v>221.12077777777782</v>
      </c>
      <c r="I363" s="129" t="s">
        <v>1028</v>
      </c>
      <c r="J363" s="740">
        <f>J$274</f>
        <v>0</v>
      </c>
      <c r="K363" s="734">
        <f t="shared" si="105"/>
        <v>0</v>
      </c>
      <c r="L363" s="722"/>
    </row>
    <row r="364" spans="1:13" s="394" customFormat="1" x14ac:dyDescent="0.2">
      <c r="A364" s="714">
        <f>IF(F364&lt;&gt;"",1+MAX($A$1:A363),"")</f>
        <v>218</v>
      </c>
      <c r="B364" s="141" t="s">
        <v>1412</v>
      </c>
      <c r="C364" s="757" t="s">
        <v>437</v>
      </c>
      <c r="D364" s="370"/>
      <c r="E364" s="727" t="s">
        <v>1571</v>
      </c>
      <c r="F364" s="728">
        <f>3*2*F362/27-3.14*1*1*0.25*F362/27</f>
        <v>31.767075925925926</v>
      </c>
      <c r="G364" s="127">
        <v>0.1</v>
      </c>
      <c r="H364" s="128">
        <f t="shared" si="104"/>
        <v>34.943783518518522</v>
      </c>
      <c r="I364" s="129" t="s">
        <v>1028</v>
      </c>
      <c r="J364" s="740">
        <f>J$124</f>
        <v>0</v>
      </c>
      <c r="K364" s="734">
        <f t="shared" si="105"/>
        <v>0</v>
      </c>
      <c r="L364" s="722"/>
    </row>
    <row r="365" spans="1:13" s="394" customFormat="1" x14ac:dyDescent="0.2">
      <c r="A365" s="714">
        <f>IF(F365&lt;&gt;"",1+MAX($A$1:A364),"")</f>
        <v>219</v>
      </c>
      <c r="B365" s="141" t="s">
        <v>1412</v>
      </c>
      <c r="C365" s="757" t="s">
        <v>437</v>
      </c>
      <c r="D365" s="370"/>
      <c r="E365" s="727" t="s">
        <v>1032</v>
      </c>
      <c r="F365" s="728">
        <f>F363-F364-3.14*1*1*0.25*F362/27</f>
        <v>164.47000000000003</v>
      </c>
      <c r="G365" s="127">
        <v>0.1</v>
      </c>
      <c r="H365" s="128">
        <f t="shared" si="104"/>
        <v>180.91700000000006</v>
      </c>
      <c r="I365" s="129" t="s">
        <v>1028</v>
      </c>
      <c r="J365" s="740">
        <f>J$275</f>
        <v>0</v>
      </c>
      <c r="K365" s="734">
        <f t="shared" si="105"/>
        <v>0</v>
      </c>
      <c r="L365" s="722"/>
    </row>
    <row r="366" spans="1:13" s="394" customFormat="1" x14ac:dyDescent="0.2">
      <c r="A366" s="714">
        <f>IF(F366&lt;&gt;"",1+MAX($A$1:A365),"")</f>
        <v>220</v>
      </c>
      <c r="B366" s="141" t="s">
        <v>1412</v>
      </c>
      <c r="C366" s="757" t="s">
        <v>437</v>
      </c>
      <c r="D366" s="370"/>
      <c r="E366" s="727" t="s">
        <v>1600</v>
      </c>
      <c r="F366" s="728">
        <f>F362*11*2</f>
        <v>3618.34</v>
      </c>
      <c r="G366" s="127">
        <v>0.1</v>
      </c>
      <c r="H366" s="128">
        <f t="shared" si="104"/>
        <v>3980.1740000000004</v>
      </c>
      <c r="I366" s="129" t="s">
        <v>18</v>
      </c>
      <c r="J366" s="740">
        <f>J$360</f>
        <v>0</v>
      </c>
      <c r="K366" s="734">
        <f t="shared" si="105"/>
        <v>0</v>
      </c>
      <c r="L366" s="722"/>
    </row>
    <row r="367" spans="1:13" ht="31.5" x14ac:dyDescent="0.2">
      <c r="A367" s="714" t="str">
        <f>IF(F367&lt;&gt;"",1+MAX($A$1:A366),"")</f>
        <v/>
      </c>
      <c r="B367" s="141"/>
      <c r="C367" s="770"/>
      <c r="D367" s="370"/>
      <c r="E367" s="776" t="s">
        <v>1602</v>
      </c>
      <c r="F367" s="728"/>
      <c r="G367" s="772"/>
      <c r="H367" s="128"/>
      <c r="I367" s="129"/>
      <c r="J367" s="762"/>
      <c r="K367" s="811"/>
      <c r="L367" s="722"/>
    </row>
    <row r="368" spans="1:13" s="394" customFormat="1" x14ac:dyDescent="0.2">
      <c r="A368" s="714" t="str">
        <f>IF(F368&lt;&gt;"",1+MAX($A$1:A367),"")</f>
        <v/>
      </c>
      <c r="B368" s="141"/>
      <c r="C368" s="723"/>
      <c r="D368" s="723"/>
      <c r="E368" s="769" t="s">
        <v>1589</v>
      </c>
      <c r="F368" s="738"/>
      <c r="G368" s="127"/>
      <c r="H368" s="140"/>
      <c r="I368" s="141"/>
      <c r="J368" s="762"/>
      <c r="K368" s="730"/>
      <c r="L368" s="722"/>
      <c r="M368" s="749"/>
    </row>
    <row r="369" spans="1:13" s="394" customFormat="1" x14ac:dyDescent="0.2">
      <c r="A369" s="714">
        <f>IF(F369&lt;&gt;"",1+MAX($A$1:A368),"")</f>
        <v>221</v>
      </c>
      <c r="B369" s="141" t="s">
        <v>1412</v>
      </c>
      <c r="C369" s="770"/>
      <c r="D369" s="370"/>
      <c r="E369" s="727" t="s">
        <v>1603</v>
      </c>
      <c r="F369" s="728">
        <v>2</v>
      </c>
      <c r="G369" s="127">
        <v>0</v>
      </c>
      <c r="H369" s="128">
        <f t="shared" ref="H369:H371" si="106">F369*(1+G369)</f>
        <v>2</v>
      </c>
      <c r="I369" s="129" t="s">
        <v>20</v>
      </c>
      <c r="J369" s="729">
        <v>0</v>
      </c>
      <c r="K369" s="734">
        <f t="shared" ref="K369:K371" si="107">J369*H369</f>
        <v>0</v>
      </c>
      <c r="L369" s="722"/>
    </row>
    <row r="370" spans="1:13" s="394" customFormat="1" x14ac:dyDescent="0.2">
      <c r="A370" s="714">
        <f>IF(F370&lt;&gt;"",1+MAX($A$1:A369),"")</f>
        <v>222</v>
      </c>
      <c r="B370" s="141" t="s">
        <v>1412</v>
      </c>
      <c r="C370" s="770"/>
      <c r="D370" s="370"/>
      <c r="E370" s="727" t="s">
        <v>1604</v>
      </c>
      <c r="F370" s="728">
        <v>2</v>
      </c>
      <c r="G370" s="127">
        <v>0</v>
      </c>
      <c r="H370" s="128">
        <f t="shared" si="106"/>
        <v>2</v>
      </c>
      <c r="I370" s="129" t="s">
        <v>20</v>
      </c>
      <c r="J370" s="729">
        <v>0</v>
      </c>
      <c r="K370" s="734">
        <f t="shared" si="107"/>
        <v>0</v>
      </c>
      <c r="L370" s="722"/>
    </row>
    <row r="371" spans="1:13" s="394" customFormat="1" ht="31.5" x14ac:dyDescent="0.2">
      <c r="A371" s="714">
        <f>IF(F371&lt;&gt;"",1+MAX($A$1:A370),"")</f>
        <v>223</v>
      </c>
      <c r="B371" s="141" t="s">
        <v>1412</v>
      </c>
      <c r="C371" s="770"/>
      <c r="D371" s="370"/>
      <c r="E371" s="727" t="s">
        <v>1605</v>
      </c>
      <c r="F371" s="728">
        <v>1</v>
      </c>
      <c r="G371" s="127">
        <v>0</v>
      </c>
      <c r="H371" s="128">
        <f t="shared" si="106"/>
        <v>1</v>
      </c>
      <c r="I371" s="129" t="s">
        <v>20</v>
      </c>
      <c r="J371" s="729">
        <v>0</v>
      </c>
      <c r="K371" s="734">
        <f t="shared" si="107"/>
        <v>0</v>
      </c>
      <c r="L371" s="722"/>
    </row>
    <row r="372" spans="1:13" ht="16.5" thickBot="1" x14ac:dyDescent="0.25">
      <c r="A372" s="714" t="str">
        <f>IF(F372&lt;&gt;"",1+MAX($A$1:A371),"")</f>
        <v/>
      </c>
      <c r="B372" s="141"/>
      <c r="C372" s="723"/>
      <c r="D372" s="368"/>
      <c r="E372" s="813"/>
      <c r="F372" s="573"/>
      <c r="G372" s="574"/>
      <c r="H372" s="573"/>
      <c r="I372" s="575"/>
      <c r="J372" s="741"/>
      <c r="K372" s="577"/>
      <c r="L372" s="578"/>
    </row>
    <row r="373" spans="1:13" ht="16.5" thickBot="1" x14ac:dyDescent="0.25">
      <c r="A373" s="714" t="str">
        <f>IF(F373&lt;&gt;"",1+MAX($A$1:A372),"")</f>
        <v/>
      </c>
      <c r="B373" s="726"/>
      <c r="C373" s="726"/>
      <c r="D373" s="370"/>
      <c r="E373" s="742" t="s">
        <v>1606</v>
      </c>
      <c r="F373" s="738"/>
      <c r="G373" s="743"/>
      <c r="H373" s="128"/>
      <c r="I373" s="129"/>
      <c r="J373" s="744"/>
      <c r="K373" s="69"/>
      <c r="L373" s="49">
        <f>SUM(K355:K372)</f>
        <v>0</v>
      </c>
      <c r="M373" s="745"/>
    </row>
    <row r="374" spans="1:13" s="394" customFormat="1" ht="16.5" thickBot="1" x14ac:dyDescent="0.25">
      <c r="A374" s="714" t="str">
        <f>IF(F374&lt;&gt;"",1+MAX($A$1:A373),"")</f>
        <v/>
      </c>
      <c r="B374" s="141"/>
      <c r="C374" s="723"/>
      <c r="D374" s="123"/>
      <c r="E374" s="750"/>
      <c r="F374" s="728"/>
      <c r="G374" s="431"/>
      <c r="H374" s="140"/>
      <c r="I374" s="141"/>
      <c r="J374" s="731"/>
      <c r="K374" s="730"/>
      <c r="L374" s="722"/>
      <c r="M374" s="706"/>
    </row>
    <row r="375" spans="1:13" ht="16.5" thickBot="1" x14ac:dyDescent="0.25">
      <c r="A375" s="714" t="str">
        <f>IF(F375&lt;&gt;"",1+MAX($A$1:A374),"")</f>
        <v/>
      </c>
      <c r="B375" s="141"/>
      <c r="C375" s="123"/>
      <c r="D375" s="370"/>
      <c r="E375" s="561" t="s">
        <v>1607</v>
      </c>
      <c r="F375" s="537"/>
      <c r="G375" s="718"/>
      <c r="H375" s="719"/>
      <c r="I375" s="720"/>
      <c r="J375" s="762"/>
      <c r="K375" s="811"/>
      <c r="L375" s="722"/>
    </row>
    <row r="376" spans="1:13" s="394" customFormat="1" x14ac:dyDescent="0.2">
      <c r="A376" s="714">
        <f>IF(F376&lt;&gt;"",1+MAX($A$1:A375),"")</f>
        <v>224</v>
      </c>
      <c r="B376" s="141" t="s">
        <v>1409</v>
      </c>
      <c r="C376" s="757" t="s">
        <v>437</v>
      </c>
      <c r="D376" s="370"/>
      <c r="E376" s="771" t="s">
        <v>1608</v>
      </c>
      <c r="F376" s="728">
        <v>6.33</v>
      </c>
      <c r="G376" s="127">
        <v>0.1</v>
      </c>
      <c r="H376" s="128">
        <f t="shared" ref="H376:H379" si="108">F376*(1+G376)</f>
        <v>6.963000000000001</v>
      </c>
      <c r="I376" s="129" t="s">
        <v>15</v>
      </c>
      <c r="J376" s="729">
        <v>0</v>
      </c>
      <c r="K376" s="734">
        <f t="shared" ref="K376:K379" si="109">J376*H376</f>
        <v>0</v>
      </c>
      <c r="L376" s="722"/>
    </row>
    <row r="377" spans="1:13" s="394" customFormat="1" x14ac:dyDescent="0.2">
      <c r="A377" s="714">
        <f>IF(F377&lt;&gt;"",1+MAX($A$1:A376),"")</f>
        <v>225</v>
      </c>
      <c r="B377" s="141" t="s">
        <v>1409</v>
      </c>
      <c r="C377" s="757" t="s">
        <v>437</v>
      </c>
      <c r="D377" s="370"/>
      <c r="E377" s="727" t="s">
        <v>1031</v>
      </c>
      <c r="F377" s="728">
        <f>2*4*F376/27</f>
        <v>1.8755555555555556</v>
      </c>
      <c r="G377" s="127">
        <v>0.1</v>
      </c>
      <c r="H377" s="128">
        <f t="shared" si="108"/>
        <v>2.0631111111111116</v>
      </c>
      <c r="I377" s="129" t="s">
        <v>1028</v>
      </c>
      <c r="J377" s="740">
        <f>J$274</f>
        <v>0</v>
      </c>
      <c r="K377" s="734">
        <f t="shared" si="109"/>
        <v>0</v>
      </c>
      <c r="L377" s="722"/>
    </row>
    <row r="378" spans="1:13" s="394" customFormat="1" x14ac:dyDescent="0.2">
      <c r="A378" s="714">
        <f>IF(F378&lt;&gt;"",1+MAX($A$1:A377),"")</f>
        <v>226</v>
      </c>
      <c r="B378" s="141" t="s">
        <v>1409</v>
      </c>
      <c r="C378" s="757" t="s">
        <v>437</v>
      </c>
      <c r="D378" s="370"/>
      <c r="E378" s="727" t="s">
        <v>1571</v>
      </c>
      <c r="F378" s="728">
        <f>2*1.17*F376/27-3.14*0.34*0.34*0.25*F376/27</f>
        <v>0.52732510444444447</v>
      </c>
      <c r="G378" s="127">
        <v>0.1</v>
      </c>
      <c r="H378" s="128">
        <f t="shared" si="108"/>
        <v>0.58005761488888896</v>
      </c>
      <c r="I378" s="129" t="s">
        <v>1028</v>
      </c>
      <c r="J378" s="740">
        <f>J$124</f>
        <v>0</v>
      </c>
      <c r="K378" s="734">
        <f t="shared" si="109"/>
        <v>0</v>
      </c>
      <c r="L378" s="722"/>
    </row>
    <row r="379" spans="1:13" s="394" customFormat="1" x14ac:dyDescent="0.2">
      <c r="A379" s="714">
        <f>IF(F379&lt;&gt;"",1+MAX($A$1:A378),"")</f>
        <v>227</v>
      </c>
      <c r="B379" s="141" t="s">
        <v>1409</v>
      </c>
      <c r="C379" s="757" t="s">
        <v>437</v>
      </c>
      <c r="D379" s="370"/>
      <c r="E379" s="727" t="s">
        <v>1032</v>
      </c>
      <c r="F379" s="728">
        <f>F377-F378-3.14*0.34*0.34*0.25*F376/27</f>
        <v>1.3269555555555557</v>
      </c>
      <c r="G379" s="127">
        <v>0.1</v>
      </c>
      <c r="H379" s="128">
        <f t="shared" si="108"/>
        <v>1.4596511111111115</v>
      </c>
      <c r="I379" s="129" t="s">
        <v>1028</v>
      </c>
      <c r="J379" s="740">
        <f>J$275</f>
        <v>0</v>
      </c>
      <c r="K379" s="734">
        <f t="shared" si="109"/>
        <v>0</v>
      </c>
      <c r="L379" s="722"/>
    </row>
    <row r="380" spans="1:13" x14ac:dyDescent="0.2">
      <c r="A380" s="714" t="str">
        <f>IF(F380&lt;&gt;"",1+MAX($A$1:A379),"")</f>
        <v/>
      </c>
      <c r="B380" s="141"/>
      <c r="C380" s="770"/>
      <c r="D380" s="370"/>
      <c r="E380" s="771"/>
      <c r="F380" s="728"/>
      <c r="G380" s="772"/>
      <c r="H380" s="128"/>
      <c r="I380" s="129"/>
      <c r="J380" s="762"/>
      <c r="K380" s="811"/>
      <c r="L380" s="722"/>
    </row>
    <row r="381" spans="1:13" s="394" customFormat="1" x14ac:dyDescent="0.2">
      <c r="A381" s="714">
        <f>IF(F381&lt;&gt;"",1+MAX($A$1:A380),"")</f>
        <v>228</v>
      </c>
      <c r="B381" s="141" t="s">
        <v>1409</v>
      </c>
      <c r="C381" s="757" t="s">
        <v>437</v>
      </c>
      <c r="D381" s="370"/>
      <c r="E381" s="771" t="s">
        <v>1609</v>
      </c>
      <c r="F381" s="728">
        <v>162.62</v>
      </c>
      <c r="G381" s="127">
        <v>0.1</v>
      </c>
      <c r="H381" s="128">
        <f t="shared" ref="H381:H384" si="110">F381*(1+G381)</f>
        <v>178.88200000000003</v>
      </c>
      <c r="I381" s="129" t="s">
        <v>15</v>
      </c>
      <c r="J381" s="729">
        <v>0</v>
      </c>
      <c r="K381" s="734">
        <f t="shared" ref="K381:K384" si="111">J381*H381</f>
        <v>0</v>
      </c>
      <c r="L381" s="722"/>
    </row>
    <row r="382" spans="1:13" s="394" customFormat="1" x14ac:dyDescent="0.2">
      <c r="A382" s="714">
        <f>IF(F382&lt;&gt;"",1+MAX($A$1:A381),"")</f>
        <v>229</v>
      </c>
      <c r="B382" s="141" t="s">
        <v>1409</v>
      </c>
      <c r="C382" s="757" t="s">
        <v>437</v>
      </c>
      <c r="D382" s="370"/>
      <c r="E382" s="727" t="s">
        <v>1031</v>
      </c>
      <c r="F382" s="728">
        <f>1.5*3*F381/27</f>
        <v>27.103333333333332</v>
      </c>
      <c r="G382" s="127">
        <v>0.1</v>
      </c>
      <c r="H382" s="128">
        <f t="shared" si="110"/>
        <v>29.813666666666666</v>
      </c>
      <c r="I382" s="129" t="s">
        <v>1028</v>
      </c>
      <c r="J382" s="740">
        <f>J$274</f>
        <v>0</v>
      </c>
      <c r="K382" s="734">
        <f t="shared" si="111"/>
        <v>0</v>
      </c>
      <c r="L382" s="722"/>
    </row>
    <row r="383" spans="1:13" s="394" customFormat="1" x14ac:dyDescent="0.2">
      <c r="A383" s="714">
        <f>IF(F383&lt;&gt;"",1+MAX($A$1:A382),"")</f>
        <v>230</v>
      </c>
      <c r="B383" s="141" t="s">
        <v>1409</v>
      </c>
      <c r="C383" s="757" t="s">
        <v>437</v>
      </c>
      <c r="D383" s="370"/>
      <c r="E383" s="727" t="s">
        <v>1571</v>
      </c>
      <c r="F383" s="728">
        <f>1.5*1*F381/27-3.14*0.08*0.08*0.25*F381/27</f>
        <v>9.0041850785185193</v>
      </c>
      <c r="G383" s="127">
        <v>0.1</v>
      </c>
      <c r="H383" s="128">
        <f t="shared" si="110"/>
        <v>9.9046035863703725</v>
      </c>
      <c r="I383" s="129" t="s">
        <v>1028</v>
      </c>
      <c r="J383" s="740">
        <f>J$124</f>
        <v>0</v>
      </c>
      <c r="K383" s="734">
        <f t="shared" si="111"/>
        <v>0</v>
      </c>
      <c r="L383" s="722"/>
    </row>
    <row r="384" spans="1:13" s="394" customFormat="1" x14ac:dyDescent="0.2">
      <c r="A384" s="714">
        <f>IF(F384&lt;&gt;"",1+MAX($A$1:A383),"")</f>
        <v>231</v>
      </c>
      <c r="B384" s="141" t="s">
        <v>1409</v>
      </c>
      <c r="C384" s="757" t="s">
        <v>437</v>
      </c>
      <c r="D384" s="370"/>
      <c r="E384" s="727" t="s">
        <v>1032</v>
      </c>
      <c r="F384" s="728">
        <f>F382-F383-3.14*0.08*0.08*0.25*F381/27</f>
        <v>18.068888888888889</v>
      </c>
      <c r="G384" s="127">
        <v>0.1</v>
      </c>
      <c r="H384" s="128">
        <f t="shared" si="110"/>
        <v>19.875777777777781</v>
      </c>
      <c r="I384" s="129" t="s">
        <v>1028</v>
      </c>
      <c r="J384" s="740">
        <f>J$275</f>
        <v>0</v>
      </c>
      <c r="K384" s="734">
        <f t="shared" si="111"/>
        <v>0</v>
      </c>
      <c r="L384" s="722"/>
    </row>
    <row r="385" spans="1:12" x14ac:dyDescent="0.2">
      <c r="A385" s="714" t="str">
        <f>IF(F385&lt;&gt;"",1+MAX($A$1:A384),"")</f>
        <v/>
      </c>
      <c r="B385" s="141"/>
      <c r="C385" s="770"/>
      <c r="D385" s="370"/>
      <c r="E385" s="771"/>
      <c r="F385" s="728"/>
      <c r="G385" s="772"/>
      <c r="H385" s="128"/>
      <c r="I385" s="129"/>
      <c r="J385" s="762"/>
      <c r="K385" s="811"/>
      <c r="L385" s="722"/>
    </row>
    <row r="386" spans="1:12" s="394" customFormat="1" x14ac:dyDescent="0.2">
      <c r="A386" s="714">
        <f>IF(F386&lt;&gt;"",1+MAX($A$1:A385),"")</f>
        <v>232</v>
      </c>
      <c r="B386" s="141" t="s">
        <v>1409</v>
      </c>
      <c r="C386" s="757" t="s">
        <v>437</v>
      </c>
      <c r="D386" s="370"/>
      <c r="E386" s="771" t="s">
        <v>1610</v>
      </c>
      <c r="F386" s="728">
        <v>479.86</v>
      </c>
      <c r="G386" s="127">
        <v>0.1</v>
      </c>
      <c r="H386" s="128">
        <f t="shared" ref="H386:H389" si="112">F386*(1+G386)</f>
        <v>527.846</v>
      </c>
      <c r="I386" s="129" t="s">
        <v>15</v>
      </c>
      <c r="J386" s="729">
        <v>0</v>
      </c>
      <c r="K386" s="734">
        <f t="shared" ref="K386:K389" si="113">J386*H386</f>
        <v>0</v>
      </c>
      <c r="L386" s="722"/>
    </row>
    <row r="387" spans="1:12" s="394" customFormat="1" x14ac:dyDescent="0.2">
      <c r="A387" s="714">
        <f>IF(F387&lt;&gt;"",1+MAX($A$1:A386),"")</f>
        <v>233</v>
      </c>
      <c r="B387" s="141" t="s">
        <v>1409</v>
      </c>
      <c r="C387" s="757" t="s">
        <v>437</v>
      </c>
      <c r="D387" s="370"/>
      <c r="E387" s="727" t="s">
        <v>1031</v>
      </c>
      <c r="F387" s="728">
        <f>2.5*5*F386/27</f>
        <v>222.15740740740742</v>
      </c>
      <c r="G387" s="127">
        <v>0.1</v>
      </c>
      <c r="H387" s="128">
        <f t="shared" si="112"/>
        <v>244.37314814814818</v>
      </c>
      <c r="I387" s="129" t="s">
        <v>1028</v>
      </c>
      <c r="J387" s="740">
        <f>J$274</f>
        <v>0</v>
      </c>
      <c r="K387" s="734">
        <f t="shared" si="113"/>
        <v>0</v>
      </c>
      <c r="L387" s="722"/>
    </row>
    <row r="388" spans="1:12" s="394" customFormat="1" x14ac:dyDescent="0.2">
      <c r="A388" s="714">
        <f>IF(F388&lt;&gt;"",1+MAX($A$1:A387),"")</f>
        <v>234</v>
      </c>
      <c r="B388" s="141" t="s">
        <v>1409</v>
      </c>
      <c r="C388" s="757" t="s">
        <v>437</v>
      </c>
      <c r="D388" s="370"/>
      <c r="E388" s="727" t="s">
        <v>1571</v>
      </c>
      <c r="F388" s="728">
        <f>2.5*2*F386/27-3.14*1*1*0.25*F386/27</f>
        <v>74.911477777777776</v>
      </c>
      <c r="G388" s="127">
        <v>0.1</v>
      </c>
      <c r="H388" s="128">
        <f t="shared" si="112"/>
        <v>82.402625555555559</v>
      </c>
      <c r="I388" s="129" t="s">
        <v>1028</v>
      </c>
      <c r="J388" s="740">
        <f>J$124</f>
        <v>0</v>
      </c>
      <c r="K388" s="734">
        <f t="shared" si="113"/>
        <v>0</v>
      </c>
      <c r="L388" s="722"/>
    </row>
    <row r="389" spans="1:12" s="394" customFormat="1" x14ac:dyDescent="0.2">
      <c r="A389" s="714">
        <f>IF(F389&lt;&gt;"",1+MAX($A$1:A388),"")</f>
        <v>235</v>
      </c>
      <c r="B389" s="141" t="s">
        <v>1409</v>
      </c>
      <c r="C389" s="757" t="s">
        <v>437</v>
      </c>
      <c r="D389" s="370"/>
      <c r="E389" s="727" t="s">
        <v>1032</v>
      </c>
      <c r="F389" s="728">
        <f>F387-F388-3.14*1*1*0.25*F386/27</f>
        <v>133.29444444444445</v>
      </c>
      <c r="G389" s="127">
        <v>0.1</v>
      </c>
      <c r="H389" s="128">
        <f t="shared" si="112"/>
        <v>146.6238888888889</v>
      </c>
      <c r="I389" s="129" t="s">
        <v>1028</v>
      </c>
      <c r="J389" s="740">
        <f>J$275</f>
        <v>0</v>
      </c>
      <c r="K389" s="734">
        <f t="shared" si="113"/>
        <v>0</v>
      </c>
      <c r="L389" s="722"/>
    </row>
    <row r="390" spans="1:12" x14ac:dyDescent="0.2">
      <c r="A390" s="714" t="str">
        <f>IF(F390&lt;&gt;"",1+MAX($A$1:A389),"")</f>
        <v/>
      </c>
      <c r="B390" s="141"/>
      <c r="C390" s="770"/>
      <c r="D390" s="370"/>
      <c r="E390" s="771"/>
      <c r="F390" s="728"/>
      <c r="G390" s="772"/>
      <c r="H390" s="128"/>
      <c r="I390" s="129"/>
      <c r="J390" s="762"/>
      <c r="K390" s="811"/>
      <c r="L390" s="722"/>
    </row>
    <row r="391" spans="1:12" s="394" customFormat="1" x14ac:dyDescent="0.2">
      <c r="A391" s="714">
        <f>IF(F391&lt;&gt;"",1+MAX($A$1:A390),"")</f>
        <v>236</v>
      </c>
      <c r="B391" s="141" t="s">
        <v>1409</v>
      </c>
      <c r="C391" s="757" t="s">
        <v>437</v>
      </c>
      <c r="D391" s="370"/>
      <c r="E391" s="771" t="s">
        <v>1611</v>
      </c>
      <c r="F391" s="728">
        <f>77.97+19.58</f>
        <v>97.55</v>
      </c>
      <c r="G391" s="127">
        <v>0.1</v>
      </c>
      <c r="H391" s="128">
        <f t="shared" ref="H391:H394" si="114">F391*(1+G391)</f>
        <v>107.30500000000001</v>
      </c>
      <c r="I391" s="129" t="s">
        <v>15</v>
      </c>
      <c r="J391" s="729">
        <v>0</v>
      </c>
      <c r="K391" s="734">
        <f t="shared" ref="K391:K394" si="115">J391*H391</f>
        <v>0</v>
      </c>
      <c r="L391" s="722"/>
    </row>
    <row r="392" spans="1:12" s="394" customFormat="1" x14ac:dyDescent="0.2">
      <c r="A392" s="714">
        <f>IF(F392&lt;&gt;"",1+MAX($A$1:A391),"")</f>
        <v>237</v>
      </c>
      <c r="B392" s="141" t="s">
        <v>1409</v>
      </c>
      <c r="C392" s="757" t="s">
        <v>437</v>
      </c>
      <c r="D392" s="370"/>
      <c r="E392" s="727" t="s">
        <v>1031</v>
      </c>
      <c r="F392" s="728">
        <f>2*4*F391/27</f>
        <v>28.903703703703702</v>
      </c>
      <c r="G392" s="127">
        <v>0.1</v>
      </c>
      <c r="H392" s="128">
        <f t="shared" si="114"/>
        <v>31.794074074074075</v>
      </c>
      <c r="I392" s="129" t="s">
        <v>1028</v>
      </c>
      <c r="J392" s="740">
        <f>J$274</f>
        <v>0</v>
      </c>
      <c r="K392" s="734">
        <f t="shared" si="115"/>
        <v>0</v>
      </c>
      <c r="L392" s="722"/>
    </row>
    <row r="393" spans="1:12" s="394" customFormat="1" x14ac:dyDescent="0.2">
      <c r="A393" s="714">
        <f>IF(F393&lt;&gt;"",1+MAX($A$1:A392),"")</f>
        <v>238</v>
      </c>
      <c r="B393" s="141" t="s">
        <v>1409</v>
      </c>
      <c r="C393" s="757" t="s">
        <v>437</v>
      </c>
      <c r="D393" s="370"/>
      <c r="E393" s="727" t="s">
        <v>1571</v>
      </c>
      <c r="F393" s="728">
        <f>2*1.34*F391/27-3.14*0.5*0.5*0.25*F391/27</f>
        <v>8.9736967592592602</v>
      </c>
      <c r="G393" s="127">
        <v>0.1</v>
      </c>
      <c r="H393" s="128">
        <f t="shared" si="114"/>
        <v>9.8710664351851864</v>
      </c>
      <c r="I393" s="129" t="s">
        <v>1028</v>
      </c>
      <c r="J393" s="740">
        <f>J$124</f>
        <v>0</v>
      </c>
      <c r="K393" s="734">
        <f t="shared" si="115"/>
        <v>0</v>
      </c>
      <c r="L393" s="722"/>
    </row>
    <row r="394" spans="1:12" s="394" customFormat="1" x14ac:dyDescent="0.2">
      <c r="A394" s="714">
        <f>IF(F394&lt;&gt;"",1+MAX($A$1:A393),"")</f>
        <v>239</v>
      </c>
      <c r="B394" s="141" t="s">
        <v>1409</v>
      </c>
      <c r="C394" s="757" t="s">
        <v>437</v>
      </c>
      <c r="D394" s="370"/>
      <c r="E394" s="727" t="s">
        <v>1032</v>
      </c>
      <c r="F394" s="728">
        <f>F392-F393-3.14*0.5*0.5*0.25*F391/27</f>
        <v>19.220962962962961</v>
      </c>
      <c r="G394" s="127">
        <v>0.1</v>
      </c>
      <c r="H394" s="128">
        <f t="shared" si="114"/>
        <v>21.14305925925926</v>
      </c>
      <c r="I394" s="129" t="s">
        <v>1028</v>
      </c>
      <c r="J394" s="740">
        <f>J$275</f>
        <v>0</v>
      </c>
      <c r="K394" s="734">
        <f t="shared" si="115"/>
        <v>0</v>
      </c>
      <c r="L394" s="722"/>
    </row>
    <row r="395" spans="1:12" x14ac:dyDescent="0.2">
      <c r="A395" s="714" t="str">
        <f>IF(F395&lt;&gt;"",1+MAX($A$1:A394),"")</f>
        <v/>
      </c>
      <c r="B395" s="141"/>
      <c r="C395" s="770"/>
      <c r="D395" s="370"/>
      <c r="E395" s="771"/>
      <c r="F395" s="728"/>
      <c r="G395" s="772"/>
      <c r="H395" s="128"/>
      <c r="I395" s="129"/>
      <c r="J395" s="762"/>
      <c r="K395" s="811"/>
      <c r="L395" s="722"/>
    </row>
    <row r="396" spans="1:12" s="394" customFormat="1" ht="31.5" x14ac:dyDescent="0.2">
      <c r="A396" s="714">
        <f>IF(F396&lt;&gt;"",1+MAX($A$1:A395),"")</f>
        <v>240</v>
      </c>
      <c r="B396" s="141" t="s">
        <v>1612</v>
      </c>
      <c r="C396" s="757" t="s">
        <v>437</v>
      </c>
      <c r="D396" s="370"/>
      <c r="E396" s="771" t="s">
        <v>1613</v>
      </c>
      <c r="F396" s="728">
        <v>18.920000000000002</v>
      </c>
      <c r="G396" s="127">
        <v>0.1</v>
      </c>
      <c r="H396" s="128">
        <f t="shared" ref="H396:H399" si="116">F396*(1+G396)</f>
        <v>20.812000000000005</v>
      </c>
      <c r="I396" s="129" t="s">
        <v>15</v>
      </c>
      <c r="J396" s="729">
        <v>0</v>
      </c>
      <c r="K396" s="734">
        <f t="shared" ref="K396:K399" si="117">J396*H396</f>
        <v>0</v>
      </c>
      <c r="L396" s="722"/>
    </row>
    <row r="397" spans="1:12" s="394" customFormat="1" x14ac:dyDescent="0.2">
      <c r="A397" s="714">
        <f>IF(F397&lt;&gt;"",1+MAX($A$1:A396),"")</f>
        <v>241</v>
      </c>
      <c r="B397" s="141" t="s">
        <v>1612</v>
      </c>
      <c r="C397" s="757" t="s">
        <v>437</v>
      </c>
      <c r="D397" s="370"/>
      <c r="E397" s="727" t="s">
        <v>1031</v>
      </c>
      <c r="F397" s="728">
        <f>2*4*F396/27</f>
        <v>5.6059259259259262</v>
      </c>
      <c r="G397" s="127">
        <v>0.1</v>
      </c>
      <c r="H397" s="128">
        <f t="shared" si="116"/>
        <v>6.1665185185185196</v>
      </c>
      <c r="I397" s="129" t="s">
        <v>1028</v>
      </c>
      <c r="J397" s="740">
        <f>J$274</f>
        <v>0</v>
      </c>
      <c r="K397" s="734">
        <f t="shared" si="117"/>
        <v>0</v>
      </c>
      <c r="L397" s="722"/>
    </row>
    <row r="398" spans="1:12" s="394" customFormat="1" x14ac:dyDescent="0.2">
      <c r="A398" s="714">
        <f>IF(F398&lt;&gt;"",1+MAX($A$1:A397),"")</f>
        <v>242</v>
      </c>
      <c r="B398" s="141" t="s">
        <v>1612</v>
      </c>
      <c r="C398" s="757" t="s">
        <v>437</v>
      </c>
      <c r="D398" s="370"/>
      <c r="E398" s="727" t="s">
        <v>1571</v>
      </c>
      <c r="F398" s="728">
        <f>2*1.34*F396/27-3.14*0.5*0.5*0.25*F396/27</f>
        <v>1.7404648148148152</v>
      </c>
      <c r="G398" s="127">
        <v>0.1</v>
      </c>
      <c r="H398" s="128">
        <f t="shared" si="116"/>
        <v>1.9145112962962969</v>
      </c>
      <c r="I398" s="129" t="s">
        <v>1028</v>
      </c>
      <c r="J398" s="740">
        <f>J$124</f>
        <v>0</v>
      </c>
      <c r="K398" s="734">
        <f t="shared" si="117"/>
        <v>0</v>
      </c>
      <c r="L398" s="722"/>
    </row>
    <row r="399" spans="1:12" s="394" customFormat="1" x14ac:dyDescent="0.2">
      <c r="A399" s="714">
        <f>IF(F399&lt;&gt;"",1+MAX($A$1:A398),"")</f>
        <v>243</v>
      </c>
      <c r="B399" s="141" t="s">
        <v>1612</v>
      </c>
      <c r="C399" s="757" t="s">
        <v>437</v>
      </c>
      <c r="D399" s="370"/>
      <c r="E399" s="727" t="s">
        <v>1032</v>
      </c>
      <c r="F399" s="728">
        <f>F397-F398-3.14*0.5*0.5*0.25*F396/27</f>
        <v>3.727940740740741</v>
      </c>
      <c r="G399" s="127">
        <v>0.1</v>
      </c>
      <c r="H399" s="128">
        <f t="shared" si="116"/>
        <v>4.1007348148148157</v>
      </c>
      <c r="I399" s="129" t="s">
        <v>1028</v>
      </c>
      <c r="J399" s="740">
        <f>J$275</f>
        <v>0</v>
      </c>
      <c r="K399" s="734">
        <f t="shared" si="117"/>
        <v>0</v>
      </c>
      <c r="L399" s="722"/>
    </row>
    <row r="400" spans="1:12" x14ac:dyDescent="0.2">
      <c r="A400" s="714" t="str">
        <f>IF(F400&lt;&gt;"",1+MAX($A$1:A399),"")</f>
        <v/>
      </c>
      <c r="B400" s="141"/>
      <c r="C400" s="770"/>
      <c r="D400" s="370"/>
      <c r="E400" s="771"/>
      <c r="F400" s="728"/>
      <c r="G400" s="772"/>
      <c r="H400" s="128"/>
      <c r="I400" s="129"/>
      <c r="J400" s="762"/>
      <c r="K400" s="811"/>
      <c r="L400" s="722"/>
    </row>
    <row r="401" spans="1:13" s="394" customFormat="1" x14ac:dyDescent="0.2">
      <c r="A401" s="714">
        <f>IF(F401&lt;&gt;"",1+MAX($A$1:A400),"")</f>
        <v>244</v>
      </c>
      <c r="B401" s="141" t="s">
        <v>1612</v>
      </c>
      <c r="C401" s="757" t="s">
        <v>437</v>
      </c>
      <c r="D401" s="370"/>
      <c r="E401" s="771" t="s">
        <v>1614</v>
      </c>
      <c r="F401" s="728">
        <v>64.790000000000006</v>
      </c>
      <c r="G401" s="127">
        <v>0.1</v>
      </c>
      <c r="H401" s="128">
        <f t="shared" ref="H401:H404" si="118">F401*(1+G401)</f>
        <v>71.26900000000002</v>
      </c>
      <c r="I401" s="129" t="s">
        <v>15</v>
      </c>
      <c r="J401" s="740">
        <f>J$396</f>
        <v>0</v>
      </c>
      <c r="K401" s="734">
        <f t="shared" ref="K401:K404" si="119">J401*H401</f>
        <v>0</v>
      </c>
      <c r="L401" s="722"/>
    </row>
    <row r="402" spans="1:13" s="394" customFormat="1" x14ac:dyDescent="0.2">
      <c r="A402" s="714">
        <f>IF(F402&lt;&gt;"",1+MAX($A$1:A401),"")</f>
        <v>245</v>
      </c>
      <c r="B402" s="141" t="s">
        <v>1612</v>
      </c>
      <c r="C402" s="757" t="s">
        <v>437</v>
      </c>
      <c r="D402" s="370"/>
      <c r="E402" s="727" t="s">
        <v>1031</v>
      </c>
      <c r="F402" s="728">
        <f>2*4*F401/27</f>
        <v>19.197037037037038</v>
      </c>
      <c r="G402" s="127">
        <v>0.1</v>
      </c>
      <c r="H402" s="128">
        <f t="shared" si="118"/>
        <v>21.116740740740745</v>
      </c>
      <c r="I402" s="129" t="s">
        <v>1028</v>
      </c>
      <c r="J402" s="740">
        <f>J$274</f>
        <v>0</v>
      </c>
      <c r="K402" s="734">
        <f t="shared" si="119"/>
        <v>0</v>
      </c>
      <c r="L402" s="722"/>
    </row>
    <row r="403" spans="1:13" s="394" customFormat="1" x14ac:dyDescent="0.2">
      <c r="A403" s="714">
        <f>IF(F403&lt;&gt;"",1+MAX($A$1:A402),"")</f>
        <v>246</v>
      </c>
      <c r="B403" s="141" t="s">
        <v>1612</v>
      </c>
      <c r="C403" s="757" t="s">
        <v>437</v>
      </c>
      <c r="D403" s="370"/>
      <c r="E403" s="727" t="s">
        <v>1571</v>
      </c>
      <c r="F403" s="728">
        <f>2*1.34*F401/27-3.14*0.5*0.5*0.25*F401/27</f>
        <v>5.9600800925925936</v>
      </c>
      <c r="G403" s="127">
        <v>0.1</v>
      </c>
      <c r="H403" s="128">
        <f t="shared" si="118"/>
        <v>6.5560881018518531</v>
      </c>
      <c r="I403" s="129" t="s">
        <v>1028</v>
      </c>
      <c r="J403" s="740">
        <f>J$124</f>
        <v>0</v>
      </c>
      <c r="K403" s="734">
        <f t="shared" si="119"/>
        <v>0</v>
      </c>
      <c r="L403" s="722"/>
    </row>
    <row r="404" spans="1:13" s="394" customFormat="1" x14ac:dyDescent="0.2">
      <c r="A404" s="714">
        <f>IF(F404&lt;&gt;"",1+MAX($A$1:A403),"")</f>
        <v>247</v>
      </c>
      <c r="B404" s="141" t="s">
        <v>1612</v>
      </c>
      <c r="C404" s="757" t="s">
        <v>437</v>
      </c>
      <c r="D404" s="370"/>
      <c r="E404" s="727" t="s">
        <v>1032</v>
      </c>
      <c r="F404" s="728">
        <f>F402-F403-3.14*0.5*0.5*0.25*F401/27</f>
        <v>12.766029629629628</v>
      </c>
      <c r="G404" s="127">
        <v>0.1</v>
      </c>
      <c r="H404" s="128">
        <f t="shared" si="118"/>
        <v>14.042632592592591</v>
      </c>
      <c r="I404" s="129" t="s">
        <v>1028</v>
      </c>
      <c r="J404" s="740">
        <f>J$275</f>
        <v>0</v>
      </c>
      <c r="K404" s="734">
        <f t="shared" si="119"/>
        <v>0</v>
      </c>
      <c r="L404" s="722"/>
    </row>
    <row r="405" spans="1:13" x14ac:dyDescent="0.2">
      <c r="A405" s="714" t="str">
        <f>IF(F405&lt;&gt;"",1+MAX($A$1:A404),"")</f>
        <v/>
      </c>
      <c r="B405" s="141"/>
      <c r="C405" s="770"/>
      <c r="D405" s="370"/>
      <c r="E405" s="776" t="s">
        <v>1615</v>
      </c>
      <c r="F405" s="728"/>
      <c r="G405" s="772"/>
      <c r="H405" s="128"/>
      <c r="I405" s="129"/>
      <c r="J405" s="762"/>
      <c r="K405" s="773"/>
      <c r="L405" s="722"/>
    </row>
    <row r="406" spans="1:13" x14ac:dyDescent="0.2">
      <c r="A406" s="714" t="str">
        <f>IF(F406&lt;&gt;"",1+MAX($A$1:A405),"")</f>
        <v/>
      </c>
      <c r="B406" s="141"/>
      <c r="C406" s="770"/>
      <c r="D406" s="370"/>
      <c r="E406" s="771"/>
      <c r="F406" s="728"/>
      <c r="G406" s="772"/>
      <c r="H406" s="128"/>
      <c r="I406" s="129"/>
      <c r="J406" s="774"/>
      <c r="K406" s="811"/>
      <c r="L406" s="722"/>
    </row>
    <row r="407" spans="1:13" s="394" customFormat="1" x14ac:dyDescent="0.2">
      <c r="A407" s="714" t="str">
        <f>IF(F407&lt;&gt;"",1+MAX($A$1:A406),"")</f>
        <v/>
      </c>
      <c r="B407" s="141"/>
      <c r="C407" s="723"/>
      <c r="D407" s="723"/>
      <c r="E407" s="769" t="s">
        <v>1589</v>
      </c>
      <c r="F407" s="738"/>
      <c r="G407" s="127"/>
      <c r="H407" s="140"/>
      <c r="I407" s="141"/>
      <c r="J407" s="762"/>
      <c r="K407" s="730"/>
      <c r="L407" s="722"/>
      <c r="M407" s="749"/>
    </row>
    <row r="408" spans="1:13" s="394" customFormat="1" x14ac:dyDescent="0.2">
      <c r="A408" s="714">
        <f>IF(F408&lt;&gt;"",1+MAX($A$1:A407),"")</f>
        <v>248</v>
      </c>
      <c r="B408" s="141" t="s">
        <v>1409</v>
      </c>
      <c r="C408" s="770"/>
      <c r="D408" s="370"/>
      <c r="E408" s="727" t="s">
        <v>1616</v>
      </c>
      <c r="F408" s="728">
        <v>3</v>
      </c>
      <c r="G408" s="127">
        <v>0</v>
      </c>
      <c r="H408" s="128">
        <f t="shared" ref="H408:H420" si="120">F408*(1+G408)</f>
        <v>3</v>
      </c>
      <c r="I408" s="129" t="s">
        <v>20</v>
      </c>
      <c r="J408" s="729">
        <v>0</v>
      </c>
      <c r="K408" s="734">
        <f t="shared" ref="K408:K420" si="121">J408*H408</f>
        <v>0</v>
      </c>
      <c r="L408" s="722"/>
    </row>
    <row r="409" spans="1:13" s="394" customFormat="1" x14ac:dyDescent="0.2">
      <c r="A409" s="714">
        <f>IF(F409&lt;&gt;"",1+MAX($A$1:A408),"")</f>
        <v>249</v>
      </c>
      <c r="B409" s="141" t="s">
        <v>1409</v>
      </c>
      <c r="C409" s="770"/>
      <c r="D409" s="370"/>
      <c r="E409" s="727" t="s">
        <v>1617</v>
      </c>
      <c r="F409" s="728">
        <v>1</v>
      </c>
      <c r="G409" s="127">
        <v>0</v>
      </c>
      <c r="H409" s="128">
        <f t="shared" si="120"/>
        <v>1</v>
      </c>
      <c r="I409" s="129" t="s">
        <v>20</v>
      </c>
      <c r="J409" s="729">
        <v>0</v>
      </c>
      <c r="K409" s="734">
        <f t="shared" si="121"/>
        <v>0</v>
      </c>
      <c r="L409" s="722"/>
    </row>
    <row r="410" spans="1:13" s="394" customFormat="1" x14ac:dyDescent="0.2">
      <c r="A410" s="714">
        <f>IF(F410&lt;&gt;"",1+MAX($A$1:A409),"")</f>
        <v>250</v>
      </c>
      <c r="B410" s="141" t="s">
        <v>1409</v>
      </c>
      <c r="C410" s="770"/>
      <c r="D410" s="370"/>
      <c r="E410" s="727" t="s">
        <v>1618</v>
      </c>
      <c r="F410" s="728">
        <v>1</v>
      </c>
      <c r="G410" s="127">
        <v>0</v>
      </c>
      <c r="H410" s="128">
        <f t="shared" si="120"/>
        <v>1</v>
      </c>
      <c r="I410" s="129" t="s">
        <v>27</v>
      </c>
      <c r="J410" s="729">
        <v>0</v>
      </c>
      <c r="K410" s="734">
        <f t="shared" si="121"/>
        <v>0</v>
      </c>
      <c r="L410" s="722"/>
    </row>
    <row r="411" spans="1:13" s="394" customFormat="1" x14ac:dyDescent="0.2">
      <c r="A411" s="714">
        <f>IF(F411&lt;&gt;"",1+MAX($A$1:A410),"")</f>
        <v>251</v>
      </c>
      <c r="B411" s="141" t="s">
        <v>1409</v>
      </c>
      <c r="C411" s="770"/>
      <c r="D411" s="370"/>
      <c r="E411" s="727" t="s">
        <v>1619</v>
      </c>
      <c r="F411" s="728">
        <v>1</v>
      </c>
      <c r="G411" s="127">
        <v>0</v>
      </c>
      <c r="H411" s="128">
        <f t="shared" si="120"/>
        <v>1</v>
      </c>
      <c r="I411" s="129" t="s">
        <v>20</v>
      </c>
      <c r="J411" s="729">
        <v>0</v>
      </c>
      <c r="K411" s="734">
        <f t="shared" si="121"/>
        <v>0</v>
      </c>
      <c r="L411" s="722"/>
    </row>
    <row r="412" spans="1:13" s="394" customFormat="1" x14ac:dyDescent="0.2">
      <c r="A412" s="714">
        <f>IF(F412&lt;&gt;"",1+MAX($A$1:A411),"")</f>
        <v>252</v>
      </c>
      <c r="B412" s="141" t="s">
        <v>1409</v>
      </c>
      <c r="C412" s="770"/>
      <c r="D412" s="370"/>
      <c r="E412" s="727" t="s">
        <v>1620</v>
      </c>
      <c r="F412" s="728">
        <v>1</v>
      </c>
      <c r="G412" s="127">
        <v>0</v>
      </c>
      <c r="H412" s="128">
        <f t="shared" si="120"/>
        <v>1</v>
      </c>
      <c r="I412" s="129" t="s">
        <v>20</v>
      </c>
      <c r="J412" s="729">
        <v>0</v>
      </c>
      <c r="K412" s="734">
        <f t="shared" si="121"/>
        <v>0</v>
      </c>
      <c r="L412" s="722"/>
    </row>
    <row r="413" spans="1:13" s="394" customFormat="1" x14ac:dyDescent="0.2">
      <c r="A413" s="714">
        <f>IF(F413&lt;&gt;"",1+MAX($A$1:A412),"")</f>
        <v>253</v>
      </c>
      <c r="B413" s="141" t="s">
        <v>1409</v>
      </c>
      <c r="C413" s="770"/>
      <c r="D413" s="370"/>
      <c r="E413" s="727" t="s">
        <v>1621</v>
      </c>
      <c r="F413" s="728">
        <v>1</v>
      </c>
      <c r="G413" s="127">
        <v>0</v>
      </c>
      <c r="H413" s="128">
        <f t="shared" si="120"/>
        <v>1</v>
      </c>
      <c r="I413" s="129" t="s">
        <v>20</v>
      </c>
      <c r="J413" s="729">
        <v>0</v>
      </c>
      <c r="K413" s="734">
        <f t="shared" si="121"/>
        <v>0</v>
      </c>
      <c r="L413" s="722"/>
    </row>
    <row r="414" spans="1:13" s="394" customFormat="1" x14ac:dyDescent="0.2">
      <c r="A414" s="714">
        <f>IF(F414&lt;&gt;"",1+MAX($A$1:A413),"")</f>
        <v>254</v>
      </c>
      <c r="B414" s="141" t="s">
        <v>1612</v>
      </c>
      <c r="C414" s="770"/>
      <c r="D414" s="370"/>
      <c r="E414" s="727" t="s">
        <v>1622</v>
      </c>
      <c r="F414" s="728">
        <v>1</v>
      </c>
      <c r="G414" s="127">
        <v>0</v>
      </c>
      <c r="H414" s="128">
        <f t="shared" si="120"/>
        <v>1</v>
      </c>
      <c r="I414" s="129" t="s">
        <v>20</v>
      </c>
      <c r="J414" s="729">
        <v>0</v>
      </c>
      <c r="K414" s="734">
        <f t="shared" si="121"/>
        <v>0</v>
      </c>
      <c r="L414" s="722"/>
    </row>
    <row r="415" spans="1:13" s="394" customFormat="1" x14ac:dyDescent="0.2">
      <c r="A415" s="714">
        <f>IF(F415&lt;&gt;"",1+MAX($A$1:A414),"")</f>
        <v>255</v>
      </c>
      <c r="B415" s="141" t="s">
        <v>1612</v>
      </c>
      <c r="C415" s="770"/>
      <c r="D415" s="370"/>
      <c r="E415" s="727" t="s">
        <v>1833</v>
      </c>
      <c r="F415" s="728">
        <v>1</v>
      </c>
      <c r="G415" s="127">
        <v>0</v>
      </c>
      <c r="H415" s="128">
        <f t="shared" si="120"/>
        <v>1</v>
      </c>
      <c r="I415" s="129" t="s">
        <v>20</v>
      </c>
      <c r="J415" s="729">
        <v>0</v>
      </c>
      <c r="K415" s="734">
        <f t="shared" si="121"/>
        <v>0</v>
      </c>
      <c r="L415" s="722"/>
    </row>
    <row r="416" spans="1:13" s="394" customFormat="1" ht="31.5" x14ac:dyDescent="0.2">
      <c r="A416" s="714">
        <f>IF(F416&lt;&gt;"",1+MAX($A$1:A415),"")</f>
        <v>256</v>
      </c>
      <c r="B416" s="141" t="s">
        <v>1612</v>
      </c>
      <c r="C416" s="770"/>
      <c r="D416" s="370"/>
      <c r="E416" s="727" t="s">
        <v>1623</v>
      </c>
      <c r="F416" s="728">
        <v>1</v>
      </c>
      <c r="G416" s="127">
        <v>0</v>
      </c>
      <c r="H416" s="128">
        <f t="shared" si="120"/>
        <v>1</v>
      </c>
      <c r="I416" s="129" t="s">
        <v>20</v>
      </c>
      <c r="J416" s="729">
        <v>0</v>
      </c>
      <c r="K416" s="734">
        <f t="shared" si="121"/>
        <v>0</v>
      </c>
      <c r="L416" s="722"/>
    </row>
    <row r="417" spans="1:13" s="394" customFormat="1" ht="31.5" x14ac:dyDescent="0.2">
      <c r="A417" s="714">
        <f>IF(F417&lt;&gt;"",1+MAX($A$1:A416),"")</f>
        <v>257</v>
      </c>
      <c r="B417" s="141" t="s">
        <v>1612</v>
      </c>
      <c r="C417" s="770"/>
      <c r="D417" s="370"/>
      <c r="E417" s="727" t="s">
        <v>1624</v>
      </c>
      <c r="F417" s="728">
        <v>1</v>
      </c>
      <c r="G417" s="127">
        <v>0</v>
      </c>
      <c r="H417" s="128">
        <f t="shared" si="120"/>
        <v>1</v>
      </c>
      <c r="I417" s="129" t="s">
        <v>20</v>
      </c>
      <c r="J417" s="729">
        <v>0</v>
      </c>
      <c r="K417" s="734">
        <f t="shared" si="121"/>
        <v>0</v>
      </c>
      <c r="L417" s="722"/>
    </row>
    <row r="418" spans="1:13" s="394" customFormat="1" x14ac:dyDescent="0.2">
      <c r="A418" s="714">
        <f>IF(F418&lt;&gt;"",1+MAX($A$1:A417),"")</f>
        <v>258</v>
      </c>
      <c r="B418" s="141" t="s">
        <v>1612</v>
      </c>
      <c r="C418" s="770"/>
      <c r="D418" s="370"/>
      <c r="E418" s="727" t="s">
        <v>1625</v>
      </c>
      <c r="F418" s="728">
        <v>1</v>
      </c>
      <c r="G418" s="127">
        <v>0</v>
      </c>
      <c r="H418" s="128">
        <f t="shared" si="120"/>
        <v>1</v>
      </c>
      <c r="I418" s="129" t="s">
        <v>20</v>
      </c>
      <c r="J418" s="729">
        <v>0</v>
      </c>
      <c r="K418" s="734">
        <f t="shared" si="121"/>
        <v>0</v>
      </c>
      <c r="L418" s="722"/>
    </row>
    <row r="419" spans="1:13" s="394" customFormat="1" x14ac:dyDescent="0.2">
      <c r="A419" s="714">
        <f>IF(F419&lt;&gt;"",1+MAX($A$1:A418),"")</f>
        <v>259</v>
      </c>
      <c r="B419" s="141" t="s">
        <v>1612</v>
      </c>
      <c r="C419" s="770"/>
      <c r="D419" s="370"/>
      <c r="E419" s="727" t="s">
        <v>1626</v>
      </c>
      <c r="F419" s="728">
        <v>1</v>
      </c>
      <c r="G419" s="127">
        <v>0</v>
      </c>
      <c r="H419" s="128">
        <f t="shared" si="120"/>
        <v>1</v>
      </c>
      <c r="I419" s="129" t="s">
        <v>20</v>
      </c>
      <c r="J419" s="729">
        <v>0</v>
      </c>
      <c r="K419" s="734">
        <f t="shared" si="121"/>
        <v>0</v>
      </c>
      <c r="L419" s="722"/>
    </row>
    <row r="420" spans="1:13" s="394" customFormat="1" x14ac:dyDescent="0.2">
      <c r="A420" s="714">
        <f>IF(F420&lt;&gt;"",1+MAX($A$1:A419),"")</f>
        <v>260</v>
      </c>
      <c r="B420" s="141" t="s">
        <v>1612</v>
      </c>
      <c r="C420" s="770"/>
      <c r="D420" s="370"/>
      <c r="E420" s="727" t="s">
        <v>1627</v>
      </c>
      <c r="F420" s="728">
        <v>1</v>
      </c>
      <c r="G420" s="127">
        <v>0</v>
      </c>
      <c r="H420" s="128">
        <f t="shared" si="120"/>
        <v>1</v>
      </c>
      <c r="I420" s="129" t="s">
        <v>20</v>
      </c>
      <c r="J420" s="729">
        <v>0</v>
      </c>
      <c r="K420" s="734">
        <f t="shared" si="121"/>
        <v>0</v>
      </c>
      <c r="L420" s="722"/>
    </row>
    <row r="421" spans="1:13" ht="16.5" thickBot="1" x14ac:dyDescent="0.25">
      <c r="A421" s="714" t="str">
        <f>IF(F421&lt;&gt;"",1+MAX($A$1:A420),"")</f>
        <v/>
      </c>
      <c r="B421" s="141"/>
      <c r="C421" s="723"/>
      <c r="D421" s="368"/>
      <c r="E421" s="813"/>
      <c r="F421" s="573"/>
      <c r="G421" s="574"/>
      <c r="H421" s="573"/>
      <c r="I421" s="575"/>
      <c r="J421" s="741"/>
      <c r="K421" s="577"/>
      <c r="L421" s="578"/>
    </row>
    <row r="422" spans="1:13" ht="16.5" thickBot="1" x14ac:dyDescent="0.25">
      <c r="A422" s="714" t="str">
        <f>IF(F422&lt;&gt;"",1+MAX($A$1:A421),"")</f>
        <v/>
      </c>
      <c r="B422" s="726"/>
      <c r="C422" s="726"/>
      <c r="D422" s="370"/>
      <c r="E422" s="742" t="s">
        <v>1628</v>
      </c>
      <c r="F422" s="738"/>
      <c r="G422" s="743"/>
      <c r="H422" s="128"/>
      <c r="I422" s="129"/>
      <c r="J422" s="744"/>
      <c r="K422" s="69"/>
      <c r="L422" s="49">
        <f>SUM(K375:K421)</f>
        <v>0</v>
      </c>
      <c r="M422" s="745"/>
    </row>
    <row r="423" spans="1:13" s="394" customFormat="1" ht="16.5" thickBot="1" x14ac:dyDescent="0.25">
      <c r="A423" s="714" t="str">
        <f>IF(F423&lt;&gt;"",1+MAX($A$1:A422),"")</f>
        <v/>
      </c>
      <c r="B423" s="141"/>
      <c r="C423" s="723"/>
      <c r="D423" s="123"/>
      <c r="E423" s="750"/>
      <c r="F423" s="728"/>
      <c r="G423" s="431"/>
      <c r="H423" s="140"/>
      <c r="I423" s="141"/>
      <c r="J423" s="731"/>
      <c r="K423" s="730"/>
      <c r="L423" s="722"/>
      <c r="M423" s="706"/>
    </row>
    <row r="424" spans="1:13" ht="16.5" thickBot="1" x14ac:dyDescent="0.25">
      <c r="A424" s="714" t="str">
        <f>IF(F424&lt;&gt;"",1+MAX($A$1:A423),"")</f>
        <v/>
      </c>
      <c r="B424" s="141"/>
      <c r="C424" s="123"/>
      <c r="D424" s="370"/>
      <c r="E424" s="561" t="s">
        <v>1629</v>
      </c>
      <c r="F424" s="537"/>
      <c r="G424" s="718"/>
      <c r="H424" s="719"/>
      <c r="I424" s="720"/>
      <c r="J424" s="762"/>
      <c r="K424" s="811"/>
      <c r="L424" s="722"/>
    </row>
    <row r="425" spans="1:13" s="394" customFormat="1" x14ac:dyDescent="0.2">
      <c r="A425" s="714">
        <f>IF(F425&lt;&gt;"",1+MAX($A$1:A424),"")</f>
        <v>261</v>
      </c>
      <c r="B425" s="141" t="s">
        <v>1630</v>
      </c>
      <c r="C425" s="757" t="s">
        <v>437</v>
      </c>
      <c r="D425" s="370"/>
      <c r="E425" s="771" t="s">
        <v>1631</v>
      </c>
      <c r="F425" s="728">
        <v>21.15</v>
      </c>
      <c r="G425" s="127">
        <v>0.1</v>
      </c>
      <c r="H425" s="128">
        <f t="shared" ref="H425:H428" si="122">F425*(1+G425)</f>
        <v>23.265000000000001</v>
      </c>
      <c r="I425" s="129" t="s">
        <v>15</v>
      </c>
      <c r="J425" s="729">
        <v>0</v>
      </c>
      <c r="K425" s="734">
        <f t="shared" ref="K425:K428" si="123">J425*H425</f>
        <v>0</v>
      </c>
      <c r="L425" s="722"/>
    </row>
    <row r="426" spans="1:13" s="394" customFormat="1" x14ac:dyDescent="0.2">
      <c r="A426" s="714">
        <f>IF(F426&lt;&gt;"",1+MAX($A$1:A425),"")</f>
        <v>262</v>
      </c>
      <c r="B426" s="141" t="s">
        <v>1630</v>
      </c>
      <c r="C426" s="757" t="s">
        <v>437</v>
      </c>
      <c r="D426" s="370"/>
      <c r="E426" s="727" t="s">
        <v>1031</v>
      </c>
      <c r="F426" s="728">
        <f>1.5*3*F425/27</f>
        <v>3.5249999999999999</v>
      </c>
      <c r="G426" s="127">
        <v>0.1</v>
      </c>
      <c r="H426" s="128">
        <f t="shared" si="122"/>
        <v>3.8775000000000004</v>
      </c>
      <c r="I426" s="129" t="s">
        <v>1028</v>
      </c>
      <c r="J426" s="740">
        <f>J$274</f>
        <v>0</v>
      </c>
      <c r="K426" s="734">
        <f t="shared" si="123"/>
        <v>0</v>
      </c>
      <c r="L426" s="722"/>
    </row>
    <row r="427" spans="1:13" s="394" customFormat="1" x14ac:dyDescent="0.2">
      <c r="A427" s="714">
        <f>IF(F427&lt;&gt;"",1+MAX($A$1:A426),"")</f>
        <v>263</v>
      </c>
      <c r="B427" s="141" t="s">
        <v>1630</v>
      </c>
      <c r="C427" s="757" t="s">
        <v>437</v>
      </c>
      <c r="D427" s="370"/>
      <c r="E427" s="727" t="s">
        <v>1632</v>
      </c>
      <c r="F427" s="728">
        <f>1.5*0.5*F425/27</f>
        <v>0.58749999999999991</v>
      </c>
      <c r="G427" s="127">
        <v>0.1</v>
      </c>
      <c r="H427" s="128">
        <f t="shared" si="122"/>
        <v>0.64624999999999999</v>
      </c>
      <c r="I427" s="129" t="s">
        <v>1028</v>
      </c>
      <c r="J427" s="729">
        <v>0</v>
      </c>
      <c r="K427" s="734">
        <f t="shared" si="123"/>
        <v>0</v>
      </c>
      <c r="L427" s="722"/>
    </row>
    <row r="428" spans="1:13" s="394" customFormat="1" x14ac:dyDescent="0.2">
      <c r="A428" s="714">
        <f>IF(F428&lt;&gt;"",1+MAX($A$1:A427),"")</f>
        <v>264</v>
      </c>
      <c r="B428" s="141" t="s">
        <v>1630</v>
      </c>
      <c r="C428" s="757" t="s">
        <v>437</v>
      </c>
      <c r="D428" s="370"/>
      <c r="E428" s="727" t="s">
        <v>1032</v>
      </c>
      <c r="F428" s="728">
        <f>F426-F427</f>
        <v>2.9375</v>
      </c>
      <c r="G428" s="127">
        <v>0.1</v>
      </c>
      <c r="H428" s="128">
        <f t="shared" si="122"/>
        <v>3.2312500000000002</v>
      </c>
      <c r="I428" s="129" t="s">
        <v>1028</v>
      </c>
      <c r="J428" s="740">
        <f>J$275</f>
        <v>0</v>
      </c>
      <c r="K428" s="734">
        <f t="shared" si="123"/>
        <v>0</v>
      </c>
      <c r="L428" s="722"/>
    </row>
    <row r="429" spans="1:13" s="394" customFormat="1" x14ac:dyDescent="0.2">
      <c r="A429" s="714" t="str">
        <f>IF(F429&lt;&gt;"",1+MAX($A$1:A428),"")</f>
        <v/>
      </c>
      <c r="B429" s="141"/>
      <c r="C429" s="777"/>
      <c r="D429" s="778"/>
      <c r="E429" s="776" t="s">
        <v>1633</v>
      </c>
      <c r="F429" s="728"/>
      <c r="G429" s="127"/>
      <c r="H429" s="128"/>
      <c r="I429" s="129"/>
      <c r="J429" s="129"/>
      <c r="K429" s="734"/>
      <c r="L429" s="722"/>
    </row>
    <row r="430" spans="1:13" s="394" customFormat="1" x14ac:dyDescent="0.2">
      <c r="A430" s="714" t="str">
        <f>IF(F430&lt;&gt;"",1+MAX($A$1:A429),"")</f>
        <v/>
      </c>
      <c r="B430" s="141"/>
      <c r="C430" s="723"/>
      <c r="D430" s="723"/>
      <c r="E430" s="769" t="s">
        <v>1589</v>
      </c>
      <c r="F430" s="738"/>
      <c r="G430" s="127"/>
      <c r="H430" s="140"/>
      <c r="I430" s="141"/>
      <c r="J430" s="762"/>
      <c r="K430" s="730"/>
      <c r="L430" s="722"/>
      <c r="M430" s="749"/>
    </row>
    <row r="431" spans="1:13" s="394" customFormat="1" x14ac:dyDescent="0.2">
      <c r="A431" s="714">
        <f>IF(F431&lt;&gt;"",1+MAX($A$1:A430),"")</f>
        <v>265</v>
      </c>
      <c r="B431" s="141" t="s">
        <v>1630</v>
      </c>
      <c r="C431" s="770"/>
      <c r="D431" s="370"/>
      <c r="E431" s="727" t="s">
        <v>1634</v>
      </c>
      <c r="F431" s="728">
        <v>1</v>
      </c>
      <c r="G431" s="127">
        <v>0</v>
      </c>
      <c r="H431" s="128">
        <f t="shared" ref="H431:H434" si="124">F431*(1+G431)</f>
        <v>1</v>
      </c>
      <c r="I431" s="129" t="s">
        <v>20</v>
      </c>
      <c r="J431" s="729">
        <v>0</v>
      </c>
      <c r="K431" s="734">
        <f t="shared" ref="K431:K434" si="125">J431*H431</f>
        <v>0</v>
      </c>
      <c r="L431" s="722"/>
    </row>
    <row r="432" spans="1:13" s="394" customFormat="1" ht="31.5" x14ac:dyDescent="0.2">
      <c r="A432" s="714">
        <f>IF(F432&lt;&gt;"",1+MAX($A$1:A431),"")</f>
        <v>266</v>
      </c>
      <c r="B432" s="141" t="s">
        <v>1630</v>
      </c>
      <c r="C432" s="770"/>
      <c r="D432" s="370"/>
      <c r="E432" s="727" t="s">
        <v>1635</v>
      </c>
      <c r="F432" s="728">
        <v>1</v>
      </c>
      <c r="G432" s="127">
        <v>0</v>
      </c>
      <c r="H432" s="128">
        <f t="shared" si="124"/>
        <v>1</v>
      </c>
      <c r="I432" s="129" t="s">
        <v>20</v>
      </c>
      <c r="J432" s="729">
        <v>0</v>
      </c>
      <c r="K432" s="734">
        <f t="shared" si="125"/>
        <v>0</v>
      </c>
      <c r="L432" s="722"/>
    </row>
    <row r="433" spans="1:13" s="394" customFormat="1" x14ac:dyDescent="0.2">
      <c r="A433" s="714">
        <f>IF(F433&lt;&gt;"",1+MAX($A$1:A432),"")</f>
        <v>267</v>
      </c>
      <c r="B433" s="141" t="s">
        <v>1630</v>
      </c>
      <c r="C433" s="770"/>
      <c r="D433" s="370"/>
      <c r="E433" s="727" t="s">
        <v>1636</v>
      </c>
      <c r="F433" s="728">
        <v>1</v>
      </c>
      <c r="G433" s="127">
        <v>0</v>
      </c>
      <c r="H433" s="128">
        <f t="shared" si="124"/>
        <v>1</v>
      </c>
      <c r="I433" s="129" t="s">
        <v>20</v>
      </c>
      <c r="J433" s="729">
        <v>0</v>
      </c>
      <c r="K433" s="734">
        <f t="shared" si="125"/>
        <v>0</v>
      </c>
      <c r="L433" s="722"/>
    </row>
    <row r="434" spans="1:13" s="394" customFormat="1" x14ac:dyDescent="0.2">
      <c r="A434" s="714">
        <f>IF(F434&lt;&gt;"",1+MAX($A$1:A433),"")</f>
        <v>268</v>
      </c>
      <c r="B434" s="141" t="s">
        <v>1630</v>
      </c>
      <c r="C434" s="770"/>
      <c r="D434" s="370"/>
      <c r="E434" s="727" t="s">
        <v>1637</v>
      </c>
      <c r="F434" s="728">
        <v>1</v>
      </c>
      <c r="G434" s="127">
        <v>0</v>
      </c>
      <c r="H434" s="128">
        <f t="shared" si="124"/>
        <v>1</v>
      </c>
      <c r="I434" s="129" t="s">
        <v>20</v>
      </c>
      <c r="J434" s="729">
        <v>0</v>
      </c>
      <c r="K434" s="734">
        <f t="shared" si="125"/>
        <v>0</v>
      </c>
      <c r="L434" s="722"/>
    </row>
    <row r="435" spans="1:13" ht="16.5" thickBot="1" x14ac:dyDescent="0.25">
      <c r="A435" s="714" t="str">
        <f>IF(F435&lt;&gt;"",1+MAX($A$1:A434),"")</f>
        <v/>
      </c>
      <c r="B435" s="141"/>
      <c r="C435" s="723"/>
      <c r="D435" s="368"/>
      <c r="E435" s="813"/>
      <c r="F435" s="573"/>
      <c r="G435" s="574"/>
      <c r="H435" s="573"/>
      <c r="I435" s="575"/>
      <c r="J435" s="741"/>
      <c r="K435" s="577"/>
      <c r="L435" s="578"/>
    </row>
    <row r="436" spans="1:13" ht="16.5" thickBot="1" x14ac:dyDescent="0.25">
      <c r="A436" s="714" t="str">
        <f>IF(F436&lt;&gt;"",1+MAX($A$1:A435),"")</f>
        <v/>
      </c>
      <c r="B436" s="726"/>
      <c r="C436" s="726"/>
      <c r="D436" s="370"/>
      <c r="E436" s="742" t="s">
        <v>1638</v>
      </c>
      <c r="F436" s="738"/>
      <c r="G436" s="743"/>
      <c r="H436" s="128"/>
      <c r="I436" s="129"/>
      <c r="J436" s="744"/>
      <c r="K436" s="69"/>
      <c r="L436" s="49">
        <f>SUM(K424:K435)</f>
        <v>0</v>
      </c>
      <c r="M436" s="745"/>
    </row>
    <row r="437" spans="1:13" s="394" customFormat="1" ht="16.5" thickBot="1" x14ac:dyDescent="0.25">
      <c r="A437" s="714" t="str">
        <f>IF(F437&lt;&gt;"",1+MAX($A$1:A436),"")</f>
        <v/>
      </c>
      <c r="B437" s="141"/>
      <c r="C437" s="723"/>
      <c r="D437" s="123"/>
      <c r="E437" s="750"/>
      <c r="F437" s="728"/>
      <c r="G437" s="431"/>
      <c r="H437" s="140"/>
      <c r="I437" s="141"/>
      <c r="J437" s="731"/>
      <c r="K437" s="730"/>
      <c r="L437" s="722"/>
      <c r="M437" s="706"/>
    </row>
    <row r="438" spans="1:13" ht="16.5" thickBot="1" x14ac:dyDescent="0.25">
      <c r="A438" s="714" t="str">
        <f>IF(F438&lt;&gt;"",1+MAX($A$1:A437),"")</f>
        <v/>
      </c>
      <c r="B438" s="141"/>
      <c r="C438" s="123"/>
      <c r="D438" s="370"/>
      <c r="E438" s="561" t="s">
        <v>1639</v>
      </c>
      <c r="F438" s="537"/>
      <c r="G438" s="718"/>
      <c r="H438" s="719"/>
      <c r="I438" s="720"/>
      <c r="J438" s="762"/>
      <c r="K438" s="811"/>
      <c r="L438" s="722"/>
    </row>
    <row r="439" spans="1:13" s="394" customFormat="1" x14ac:dyDescent="0.2">
      <c r="A439" s="714">
        <f>IF(F439&lt;&gt;"",1+MAX($A$1:A438),"")</f>
        <v>269</v>
      </c>
      <c r="B439" s="141" t="s">
        <v>1640</v>
      </c>
      <c r="C439" s="757" t="s">
        <v>437</v>
      </c>
      <c r="D439" s="370"/>
      <c r="E439" s="771" t="s">
        <v>1641</v>
      </c>
      <c r="F439" s="728">
        <f>2*246.73</f>
        <v>493.46</v>
      </c>
      <c r="G439" s="127">
        <v>0.1</v>
      </c>
      <c r="H439" s="128">
        <f t="shared" ref="H439:H442" si="126">F439*(1+G439)</f>
        <v>542.80600000000004</v>
      </c>
      <c r="I439" s="129" t="s">
        <v>15</v>
      </c>
      <c r="J439" s="729">
        <v>0</v>
      </c>
      <c r="K439" s="734">
        <f t="shared" ref="K439:K442" si="127">J439*H439</f>
        <v>0</v>
      </c>
      <c r="L439" s="722"/>
    </row>
    <row r="440" spans="1:13" s="394" customFormat="1" x14ac:dyDescent="0.2">
      <c r="A440" s="714">
        <f>IF(F440&lt;&gt;"",1+MAX($A$1:A439),"")</f>
        <v>270</v>
      </c>
      <c r="B440" s="141" t="s">
        <v>1640</v>
      </c>
      <c r="C440" s="757" t="s">
        <v>437</v>
      </c>
      <c r="D440" s="370"/>
      <c r="E440" s="727" t="s">
        <v>1031</v>
      </c>
      <c r="F440" s="728">
        <f>1.5*3*(F439/2)/27</f>
        <v>41.121666666666663</v>
      </c>
      <c r="G440" s="127">
        <v>0.1</v>
      </c>
      <c r="H440" s="128">
        <f t="shared" si="126"/>
        <v>45.23383333333333</v>
      </c>
      <c r="I440" s="129" t="s">
        <v>1028</v>
      </c>
      <c r="J440" s="740">
        <f>J$274</f>
        <v>0</v>
      </c>
      <c r="K440" s="734">
        <f t="shared" si="127"/>
        <v>0</v>
      </c>
      <c r="L440" s="722"/>
    </row>
    <row r="441" spans="1:13" s="394" customFormat="1" x14ac:dyDescent="0.2">
      <c r="A441" s="714">
        <f>IF(F441&lt;&gt;"",1+MAX($A$1:A440),"")</f>
        <v>271</v>
      </c>
      <c r="B441" s="141" t="s">
        <v>1640</v>
      </c>
      <c r="C441" s="757" t="s">
        <v>437</v>
      </c>
      <c r="D441" s="370"/>
      <c r="E441" s="727" t="s">
        <v>1642</v>
      </c>
      <c r="F441" s="728">
        <f>1.5*0.67*(F439/2)/27-3.14*0.17*0.17*0.25*F439/27</f>
        <v>8.769213692962964</v>
      </c>
      <c r="G441" s="127">
        <v>0.1</v>
      </c>
      <c r="H441" s="128">
        <f t="shared" si="126"/>
        <v>9.6461350622592619</v>
      </c>
      <c r="I441" s="129" t="s">
        <v>1028</v>
      </c>
      <c r="J441" s="729">
        <v>0</v>
      </c>
      <c r="K441" s="734">
        <f t="shared" si="127"/>
        <v>0</v>
      </c>
      <c r="L441" s="722"/>
    </row>
    <row r="442" spans="1:13" s="394" customFormat="1" x14ac:dyDescent="0.2">
      <c r="A442" s="714">
        <f>IF(F442&lt;&gt;"",1+MAX($A$1:A441),"")</f>
        <v>272</v>
      </c>
      <c r="B442" s="141" t="s">
        <v>1640</v>
      </c>
      <c r="C442" s="757" t="s">
        <v>437</v>
      </c>
      <c r="D442" s="370"/>
      <c r="E442" s="727" t="s">
        <v>1032</v>
      </c>
      <c r="F442" s="728">
        <f>F440-F441--3.14*0.17*0.17*0.25*F439/27</f>
        <v>32.767078169629627</v>
      </c>
      <c r="G442" s="127">
        <v>0.1</v>
      </c>
      <c r="H442" s="128">
        <f t="shared" si="126"/>
        <v>36.043785986592596</v>
      </c>
      <c r="I442" s="129" t="s">
        <v>1028</v>
      </c>
      <c r="J442" s="740">
        <f>J$275</f>
        <v>0</v>
      </c>
      <c r="K442" s="734">
        <f t="shared" si="127"/>
        <v>0</v>
      </c>
      <c r="L442" s="722"/>
    </row>
    <row r="443" spans="1:13" s="394" customFormat="1" x14ac:dyDescent="0.2">
      <c r="A443" s="714" t="str">
        <f>IF(F443&lt;&gt;"",1+MAX($A$1:A442),"")</f>
        <v/>
      </c>
      <c r="B443" s="141"/>
      <c r="C443" s="777"/>
      <c r="D443" s="778"/>
      <c r="E443" s="776"/>
      <c r="F443" s="728"/>
      <c r="G443" s="127"/>
      <c r="H443" s="128"/>
      <c r="I443" s="129"/>
      <c r="J443" s="129"/>
      <c r="K443" s="734"/>
      <c r="L443" s="722"/>
    </row>
    <row r="444" spans="1:13" s="394" customFormat="1" x14ac:dyDescent="0.2">
      <c r="A444" s="714">
        <f>IF(F444&lt;&gt;"",1+MAX($A$1:A443),"")</f>
        <v>273</v>
      </c>
      <c r="B444" s="141" t="s">
        <v>1640</v>
      </c>
      <c r="C444" s="757" t="s">
        <v>437</v>
      </c>
      <c r="D444" s="370"/>
      <c r="E444" s="771" t="s">
        <v>1643</v>
      </c>
      <c r="F444" s="728">
        <f>5*124.87</f>
        <v>624.35</v>
      </c>
      <c r="G444" s="127">
        <v>0.1</v>
      </c>
      <c r="H444" s="128">
        <f t="shared" ref="H444:H447" si="128">F444*(1+G444)</f>
        <v>686.78500000000008</v>
      </c>
      <c r="I444" s="129" t="s">
        <v>15</v>
      </c>
      <c r="J444" s="729">
        <v>0</v>
      </c>
      <c r="K444" s="734">
        <f t="shared" ref="K444:K447" si="129">J444*H444</f>
        <v>0</v>
      </c>
      <c r="L444" s="722"/>
    </row>
    <row r="445" spans="1:13" s="394" customFormat="1" x14ac:dyDescent="0.2">
      <c r="A445" s="714">
        <f>IF(F445&lt;&gt;"",1+MAX($A$1:A444),"")</f>
        <v>274</v>
      </c>
      <c r="B445" s="141" t="s">
        <v>1640</v>
      </c>
      <c r="C445" s="757" t="s">
        <v>437</v>
      </c>
      <c r="D445" s="370"/>
      <c r="E445" s="727" t="s">
        <v>1031</v>
      </c>
      <c r="F445" s="728">
        <f>2*3*(F444/5)/27</f>
        <v>27.748888888888889</v>
      </c>
      <c r="G445" s="127">
        <v>0.1</v>
      </c>
      <c r="H445" s="128">
        <f t="shared" si="128"/>
        <v>30.523777777777781</v>
      </c>
      <c r="I445" s="129" t="s">
        <v>1028</v>
      </c>
      <c r="J445" s="740">
        <f>J$274</f>
        <v>0</v>
      </c>
      <c r="K445" s="734">
        <f t="shared" si="129"/>
        <v>0</v>
      </c>
      <c r="L445" s="722"/>
    </row>
    <row r="446" spans="1:13" s="394" customFormat="1" x14ac:dyDescent="0.2">
      <c r="A446" s="714">
        <f>IF(F446&lt;&gt;"",1+MAX($A$1:A445),"")</f>
        <v>275</v>
      </c>
      <c r="B446" s="141" t="s">
        <v>1640</v>
      </c>
      <c r="C446" s="757" t="s">
        <v>437</v>
      </c>
      <c r="D446" s="370"/>
      <c r="E446" s="727" t="s">
        <v>1642</v>
      </c>
      <c r="F446" s="728">
        <f>2*1*(F444/5)/27-3.14*0.42*0.42*0.25*F444/27</f>
        <v>6.0475465962962982</v>
      </c>
      <c r="G446" s="127">
        <v>0.1</v>
      </c>
      <c r="H446" s="128">
        <f t="shared" si="128"/>
        <v>6.6523012559259289</v>
      </c>
      <c r="I446" s="129" t="s">
        <v>1028</v>
      </c>
      <c r="J446" s="740">
        <f>J$441</f>
        <v>0</v>
      </c>
      <c r="K446" s="734">
        <f t="shared" si="129"/>
        <v>0</v>
      </c>
      <c r="L446" s="722"/>
    </row>
    <row r="447" spans="1:13" s="394" customFormat="1" x14ac:dyDescent="0.2">
      <c r="A447" s="714">
        <f>IF(F447&lt;&gt;"",1+MAX($A$1:A446),"")</f>
        <v>276</v>
      </c>
      <c r="B447" s="141" t="s">
        <v>1640</v>
      </c>
      <c r="C447" s="757" t="s">
        <v>437</v>
      </c>
      <c r="D447" s="370"/>
      <c r="E447" s="727" t="s">
        <v>1032</v>
      </c>
      <c r="F447" s="728">
        <f>F445-F446--3.14*0.42*0.42*0.25*F444/27</f>
        <v>24.903425325925927</v>
      </c>
      <c r="G447" s="127">
        <v>0.1</v>
      </c>
      <c r="H447" s="128">
        <f t="shared" si="128"/>
        <v>27.393767858518522</v>
      </c>
      <c r="I447" s="129" t="s">
        <v>1028</v>
      </c>
      <c r="J447" s="740">
        <f>J$275</f>
        <v>0</v>
      </c>
      <c r="K447" s="734">
        <f t="shared" si="129"/>
        <v>0</v>
      </c>
      <c r="L447" s="722"/>
    </row>
    <row r="448" spans="1:13" s="394" customFormat="1" x14ac:dyDescent="0.2">
      <c r="A448" s="714" t="str">
        <f>IF(F448&lt;&gt;"",1+MAX($A$1:A447),"")</f>
        <v/>
      </c>
      <c r="B448" s="141"/>
      <c r="C448" s="777"/>
      <c r="D448" s="778"/>
      <c r="E448" s="776"/>
      <c r="F448" s="728"/>
      <c r="G448" s="127"/>
      <c r="H448" s="128"/>
      <c r="I448" s="129"/>
      <c r="J448" s="129"/>
      <c r="K448" s="734"/>
      <c r="L448" s="722"/>
    </row>
    <row r="449" spans="1:13" s="394" customFormat="1" x14ac:dyDescent="0.2">
      <c r="A449" s="714">
        <f>IF(F449&lt;&gt;"",1+MAX($A$1:A448),"")</f>
        <v>277</v>
      </c>
      <c r="B449" s="141" t="s">
        <v>1640</v>
      </c>
      <c r="C449" s="757" t="s">
        <v>437</v>
      </c>
      <c r="D449" s="370"/>
      <c r="E449" s="771" t="s">
        <v>1644</v>
      </c>
      <c r="F449" s="728">
        <f>30.02*6</f>
        <v>180.12</v>
      </c>
      <c r="G449" s="127">
        <v>0.1</v>
      </c>
      <c r="H449" s="128">
        <f t="shared" ref="H449:H452" si="130">F449*(1+G449)</f>
        <v>198.13200000000003</v>
      </c>
      <c r="I449" s="129" t="s">
        <v>15</v>
      </c>
      <c r="J449" s="729">
        <v>0</v>
      </c>
      <c r="K449" s="734">
        <f t="shared" ref="K449:K452" si="131">J449*H449</f>
        <v>0</v>
      </c>
      <c r="L449" s="722"/>
    </row>
    <row r="450" spans="1:13" s="394" customFormat="1" x14ac:dyDescent="0.2">
      <c r="A450" s="714">
        <f>IF(F450&lt;&gt;"",1+MAX($A$1:A449),"")</f>
        <v>278</v>
      </c>
      <c r="B450" s="141" t="s">
        <v>1640</v>
      </c>
      <c r="C450" s="757" t="s">
        <v>437</v>
      </c>
      <c r="D450" s="370"/>
      <c r="E450" s="727" t="s">
        <v>1031</v>
      </c>
      <c r="F450" s="728">
        <f>2*3*(F449/6)/27</f>
        <v>6.6711111111111112</v>
      </c>
      <c r="G450" s="127">
        <v>0.1</v>
      </c>
      <c r="H450" s="128">
        <f t="shared" si="130"/>
        <v>7.3382222222222229</v>
      </c>
      <c r="I450" s="129" t="s">
        <v>1028</v>
      </c>
      <c r="J450" s="740">
        <f>J$274</f>
        <v>0</v>
      </c>
      <c r="K450" s="734">
        <f t="shared" si="131"/>
        <v>0</v>
      </c>
      <c r="L450" s="722"/>
    </row>
    <row r="451" spans="1:13" s="394" customFormat="1" x14ac:dyDescent="0.2">
      <c r="A451" s="714">
        <f>IF(F451&lt;&gt;"",1+MAX($A$1:A450),"")</f>
        <v>279</v>
      </c>
      <c r="B451" s="141" t="s">
        <v>1640</v>
      </c>
      <c r="C451" s="757" t="s">
        <v>437</v>
      </c>
      <c r="D451" s="370"/>
      <c r="E451" s="727" t="s">
        <v>1642</v>
      </c>
      <c r="F451" s="728">
        <f>2*1*(F449/6)/27-3.14*0.34*0.34*0.25*F449/27</f>
        <v>1.6183270548148148</v>
      </c>
      <c r="G451" s="127">
        <v>0.1</v>
      </c>
      <c r="H451" s="128">
        <f t="shared" si="130"/>
        <v>1.7801597602962964</v>
      </c>
      <c r="I451" s="129" t="s">
        <v>1028</v>
      </c>
      <c r="J451" s="740">
        <f>J$441</f>
        <v>0</v>
      </c>
      <c r="K451" s="734">
        <f t="shared" si="131"/>
        <v>0</v>
      </c>
      <c r="L451" s="722"/>
    </row>
    <row r="452" spans="1:13" s="394" customFormat="1" x14ac:dyDescent="0.2">
      <c r="A452" s="714">
        <f>IF(F452&lt;&gt;"",1+MAX($A$1:A451),"")</f>
        <v>280</v>
      </c>
      <c r="B452" s="141" t="s">
        <v>1640</v>
      </c>
      <c r="C452" s="757" t="s">
        <v>437</v>
      </c>
      <c r="D452" s="370"/>
      <c r="E452" s="727" t="s">
        <v>1032</v>
      </c>
      <c r="F452" s="728">
        <f>F450-F451--3.14*0.34*0.34*0.25*F449/27</f>
        <v>5.6581607051851854</v>
      </c>
      <c r="G452" s="127">
        <v>0.1</v>
      </c>
      <c r="H452" s="128">
        <f t="shared" si="130"/>
        <v>6.2239767757037043</v>
      </c>
      <c r="I452" s="129" t="s">
        <v>1028</v>
      </c>
      <c r="J452" s="740">
        <f>J$275</f>
        <v>0</v>
      </c>
      <c r="K452" s="734">
        <f t="shared" si="131"/>
        <v>0</v>
      </c>
      <c r="L452" s="722"/>
    </row>
    <row r="453" spans="1:13" s="394" customFormat="1" ht="31.5" x14ac:dyDescent="0.2">
      <c r="A453" s="714" t="str">
        <f>IF(F453&lt;&gt;"",1+MAX($A$1:A452),"")</f>
        <v/>
      </c>
      <c r="B453" s="141"/>
      <c r="C453" s="777"/>
      <c r="D453" s="778"/>
      <c r="E453" s="776" t="s">
        <v>1645</v>
      </c>
      <c r="F453" s="728"/>
      <c r="G453" s="127"/>
      <c r="H453" s="128"/>
      <c r="I453" s="129"/>
      <c r="J453" s="129"/>
      <c r="K453" s="734"/>
      <c r="L453" s="722"/>
    </row>
    <row r="454" spans="1:13" x14ac:dyDescent="0.2">
      <c r="A454" s="714" t="str">
        <f>IF(F454&lt;&gt;"",1+MAX($A$1:A453),"")</f>
        <v/>
      </c>
      <c r="B454" s="141"/>
      <c r="C454" s="770"/>
      <c r="D454" s="370"/>
      <c r="E454" s="771"/>
      <c r="F454" s="728"/>
      <c r="G454" s="772"/>
      <c r="H454" s="128"/>
      <c r="I454" s="129"/>
      <c r="J454" s="762"/>
      <c r="K454" s="811"/>
      <c r="L454" s="722"/>
    </row>
    <row r="455" spans="1:13" s="394" customFormat="1" x14ac:dyDescent="0.2">
      <c r="A455" s="714" t="str">
        <f>IF(F455&lt;&gt;"",1+MAX($A$1:A454),"")</f>
        <v/>
      </c>
      <c r="B455" s="141"/>
      <c r="C455" s="723"/>
      <c r="D455" s="723"/>
      <c r="E455" s="769" t="s">
        <v>1589</v>
      </c>
      <c r="F455" s="738"/>
      <c r="G455" s="127"/>
      <c r="H455" s="140"/>
      <c r="I455" s="141"/>
      <c r="J455" s="762"/>
      <c r="K455" s="730"/>
      <c r="L455" s="722"/>
      <c r="M455" s="749"/>
    </row>
    <row r="456" spans="1:13" s="394" customFormat="1" x14ac:dyDescent="0.2">
      <c r="A456" s="714">
        <f>IF(F456&lt;&gt;"",1+MAX($A$1:A455),"")</f>
        <v>281</v>
      </c>
      <c r="B456" s="141" t="s">
        <v>1640</v>
      </c>
      <c r="C456" s="770"/>
      <c r="D456" s="370"/>
      <c r="E456" s="727" t="s">
        <v>1835</v>
      </c>
      <c r="F456" s="728">
        <v>1</v>
      </c>
      <c r="G456" s="127">
        <v>0</v>
      </c>
      <c r="H456" s="128">
        <f t="shared" ref="H456:H461" si="132">F456*(1+G456)</f>
        <v>1</v>
      </c>
      <c r="I456" s="129" t="s">
        <v>20</v>
      </c>
      <c r="J456" s="729">
        <v>0</v>
      </c>
      <c r="K456" s="734">
        <f t="shared" ref="K456:K461" si="133">J456*H456</f>
        <v>0</v>
      </c>
      <c r="L456" s="722"/>
    </row>
    <row r="457" spans="1:13" s="394" customFormat="1" x14ac:dyDescent="0.2">
      <c r="A457" s="714">
        <f>IF(F457&lt;&gt;"",1+MAX($A$1:A456),"")</f>
        <v>282</v>
      </c>
      <c r="B457" s="141" t="s">
        <v>1640</v>
      </c>
      <c r="C457" s="770"/>
      <c r="D457" s="370"/>
      <c r="E457" s="727" t="s">
        <v>1646</v>
      </c>
      <c r="F457" s="728">
        <v>1</v>
      </c>
      <c r="G457" s="127">
        <v>0</v>
      </c>
      <c r="H457" s="128">
        <f t="shared" si="132"/>
        <v>1</v>
      </c>
      <c r="I457" s="129" t="s">
        <v>20</v>
      </c>
      <c r="J457" s="729">
        <v>0</v>
      </c>
      <c r="K457" s="734">
        <f t="shared" si="133"/>
        <v>0</v>
      </c>
      <c r="L457" s="722"/>
    </row>
    <row r="458" spans="1:13" s="394" customFormat="1" x14ac:dyDescent="0.2">
      <c r="A458" s="714">
        <f>IF(F458&lt;&gt;"",1+MAX($A$1:A457),"")</f>
        <v>283</v>
      </c>
      <c r="B458" s="141" t="s">
        <v>1640</v>
      </c>
      <c r="C458" s="770"/>
      <c r="D458" s="370"/>
      <c r="E458" s="727" t="s">
        <v>1647</v>
      </c>
      <c r="F458" s="728">
        <v>1</v>
      </c>
      <c r="G458" s="127">
        <v>0</v>
      </c>
      <c r="H458" s="128">
        <f t="shared" si="132"/>
        <v>1</v>
      </c>
      <c r="I458" s="129" t="s">
        <v>20</v>
      </c>
      <c r="J458" s="729">
        <v>0</v>
      </c>
      <c r="K458" s="734">
        <f t="shared" si="133"/>
        <v>0</v>
      </c>
      <c r="L458" s="722"/>
    </row>
    <row r="459" spans="1:13" s="394" customFormat="1" x14ac:dyDescent="0.2">
      <c r="A459" s="714">
        <f>IF(F459&lt;&gt;"",1+MAX($A$1:A458),"")</f>
        <v>284</v>
      </c>
      <c r="B459" s="141" t="s">
        <v>1640</v>
      </c>
      <c r="C459" s="770"/>
      <c r="D459" s="370"/>
      <c r="E459" s="727" t="s">
        <v>1648</v>
      </c>
      <c r="F459" s="728">
        <v>1</v>
      </c>
      <c r="G459" s="127">
        <v>0</v>
      </c>
      <c r="H459" s="128">
        <f t="shared" si="132"/>
        <v>1</v>
      </c>
      <c r="I459" s="129" t="s">
        <v>20</v>
      </c>
      <c r="J459" s="729">
        <v>0</v>
      </c>
      <c r="K459" s="734">
        <f t="shared" si="133"/>
        <v>0</v>
      </c>
      <c r="L459" s="722"/>
    </row>
    <row r="460" spans="1:13" s="394" customFormat="1" x14ac:dyDescent="0.2">
      <c r="A460" s="714">
        <f>IF(F460&lt;&gt;"",1+MAX($A$1:A459),"")</f>
        <v>285</v>
      </c>
      <c r="B460" s="141" t="s">
        <v>1640</v>
      </c>
      <c r="C460" s="770"/>
      <c r="D460" s="370"/>
      <c r="E460" s="727" t="s">
        <v>1649</v>
      </c>
      <c r="F460" s="728">
        <v>5</v>
      </c>
      <c r="G460" s="127">
        <v>0</v>
      </c>
      <c r="H460" s="128">
        <f t="shared" si="132"/>
        <v>5</v>
      </c>
      <c r="I460" s="129" t="s">
        <v>20</v>
      </c>
      <c r="J460" s="729">
        <v>0</v>
      </c>
      <c r="K460" s="734">
        <f t="shared" si="133"/>
        <v>0</v>
      </c>
      <c r="L460" s="722"/>
    </row>
    <row r="461" spans="1:13" s="394" customFormat="1" x14ac:dyDescent="0.2">
      <c r="A461" s="714">
        <f>IF(F461&lt;&gt;"",1+MAX($A$1:A460),"")</f>
        <v>286</v>
      </c>
      <c r="B461" s="141" t="s">
        <v>1640</v>
      </c>
      <c r="C461" s="770"/>
      <c r="D461" s="370"/>
      <c r="E461" s="727" t="s">
        <v>1650</v>
      </c>
      <c r="F461" s="728">
        <v>1</v>
      </c>
      <c r="G461" s="127">
        <v>0</v>
      </c>
      <c r="H461" s="128">
        <f t="shared" si="132"/>
        <v>1</v>
      </c>
      <c r="I461" s="129" t="s">
        <v>20</v>
      </c>
      <c r="J461" s="729">
        <v>0</v>
      </c>
      <c r="K461" s="734">
        <f t="shared" si="133"/>
        <v>0</v>
      </c>
      <c r="L461" s="722"/>
    </row>
    <row r="462" spans="1:13" ht="16.5" thickBot="1" x14ac:dyDescent="0.25">
      <c r="A462" s="714" t="str">
        <f>IF(F462&lt;&gt;"",1+MAX($A$1:A461),"")</f>
        <v/>
      </c>
      <c r="B462" s="141"/>
      <c r="C462" s="723"/>
      <c r="D462" s="368"/>
      <c r="E462" s="813"/>
      <c r="F462" s="573"/>
      <c r="G462" s="574"/>
      <c r="H462" s="573"/>
      <c r="I462" s="575"/>
      <c r="J462" s="741"/>
      <c r="K462" s="577"/>
      <c r="L462" s="578"/>
    </row>
    <row r="463" spans="1:13" ht="16.5" thickBot="1" x14ac:dyDescent="0.25">
      <c r="A463" s="714" t="str">
        <f>IF(F463&lt;&gt;"",1+MAX($A$1:A462),"")</f>
        <v/>
      </c>
      <c r="B463" s="726"/>
      <c r="C463" s="726"/>
      <c r="D463" s="370"/>
      <c r="E463" s="742" t="s">
        <v>1651</v>
      </c>
      <c r="F463" s="738"/>
      <c r="G463" s="743"/>
      <c r="H463" s="128"/>
      <c r="I463" s="129"/>
      <c r="J463" s="744"/>
      <c r="K463" s="69"/>
      <c r="L463" s="49">
        <f>SUM(K438:K462)</f>
        <v>0</v>
      </c>
      <c r="M463" s="745"/>
    </row>
    <row r="464" spans="1:13" ht="16.5" thickBot="1" x14ac:dyDescent="0.25">
      <c r="A464" s="714" t="str">
        <f>IF(F464&lt;&gt;"",1+MAX($A$1:A463),"")</f>
        <v/>
      </c>
      <c r="B464" s="141"/>
      <c r="C464" s="770"/>
      <c r="D464" s="370"/>
      <c r="E464" s="771"/>
      <c r="F464" s="728"/>
      <c r="G464" s="772"/>
      <c r="H464" s="128"/>
      <c r="I464" s="129"/>
      <c r="J464" s="762"/>
      <c r="K464" s="780"/>
      <c r="L464" s="722"/>
    </row>
    <row r="465" spans="1:13" ht="16.5" thickBot="1" x14ac:dyDescent="0.25">
      <c r="A465" s="714" t="str">
        <f>IF(F465&lt;&gt;"",1+MAX($A$1:A464),"")</f>
        <v/>
      </c>
      <c r="B465" s="141"/>
      <c r="C465" s="123"/>
      <c r="D465" s="370"/>
      <c r="E465" s="561" t="s">
        <v>1652</v>
      </c>
      <c r="F465" s="537"/>
      <c r="G465" s="718"/>
      <c r="H465" s="719"/>
      <c r="I465" s="720"/>
      <c r="J465" s="762"/>
      <c r="K465" s="811"/>
      <c r="L465" s="722"/>
    </row>
    <row r="466" spans="1:13" s="394" customFormat="1" ht="78.75" x14ac:dyDescent="0.2">
      <c r="A466" s="714">
        <f>IF(F466&lt;&gt;"",1+MAX($A$1:A465),"")</f>
        <v>287</v>
      </c>
      <c r="B466" s="141" t="s">
        <v>1653</v>
      </c>
      <c r="C466" s="779" t="s">
        <v>1654</v>
      </c>
      <c r="D466" s="362"/>
      <c r="E466" s="727" t="s">
        <v>1655</v>
      </c>
      <c r="F466" s="728">
        <v>48</v>
      </c>
      <c r="G466" s="127">
        <v>0.1</v>
      </c>
      <c r="H466" s="128">
        <f t="shared" ref="H466:H472" si="134">F466*(1+G466)</f>
        <v>52.800000000000004</v>
      </c>
      <c r="I466" s="129" t="s">
        <v>15</v>
      </c>
      <c r="J466" s="729">
        <v>0</v>
      </c>
      <c r="K466" s="734">
        <f t="shared" ref="K466:K472" si="135">J466*H466</f>
        <v>0</v>
      </c>
      <c r="L466" s="722"/>
    </row>
    <row r="467" spans="1:13" s="394" customFormat="1" ht="157.5" x14ac:dyDescent="0.2">
      <c r="A467" s="714">
        <f>IF(F467&lt;&gt;"",1+MAX($A$1:A466),"")</f>
        <v>288</v>
      </c>
      <c r="B467" s="141" t="s">
        <v>1443</v>
      </c>
      <c r="C467" s="779" t="s">
        <v>1656</v>
      </c>
      <c r="D467" s="362"/>
      <c r="E467" s="727" t="s">
        <v>1657</v>
      </c>
      <c r="F467" s="728">
        <v>3</v>
      </c>
      <c r="G467" s="127">
        <v>0</v>
      </c>
      <c r="H467" s="128">
        <f t="shared" si="134"/>
        <v>3</v>
      </c>
      <c r="I467" s="129" t="s">
        <v>20</v>
      </c>
      <c r="J467" s="729">
        <v>0</v>
      </c>
      <c r="K467" s="734">
        <f t="shared" si="135"/>
        <v>0</v>
      </c>
      <c r="L467" s="722"/>
    </row>
    <row r="468" spans="1:13" s="394" customFormat="1" ht="31.5" x14ac:dyDescent="0.2">
      <c r="A468" s="714">
        <f>IF(F468&lt;&gt;"",1+MAX($A$1:A467),"")</f>
        <v>289</v>
      </c>
      <c r="B468" s="141" t="s">
        <v>1443</v>
      </c>
      <c r="C468" s="770"/>
      <c r="D468" s="362"/>
      <c r="E468" s="727" t="s">
        <v>1658</v>
      </c>
      <c r="F468" s="728">
        <f>3.14*1*1*0.25*3*9/27</f>
        <v>0.78500000000000003</v>
      </c>
      <c r="G468" s="127">
        <v>0.1</v>
      </c>
      <c r="H468" s="128">
        <f t="shared" si="134"/>
        <v>0.86350000000000016</v>
      </c>
      <c r="I468" s="129" t="s">
        <v>1028</v>
      </c>
      <c r="J468" s="740">
        <f>J$227</f>
        <v>0</v>
      </c>
      <c r="K468" s="734">
        <f t="shared" si="135"/>
        <v>0</v>
      </c>
      <c r="L468" s="722"/>
    </row>
    <row r="469" spans="1:13" s="394" customFormat="1" x14ac:dyDescent="0.2">
      <c r="A469" s="714">
        <f>IF(F469&lt;&gt;"",1+MAX($A$1:A468),"")</f>
        <v>290</v>
      </c>
      <c r="B469" s="141" t="s">
        <v>1443</v>
      </c>
      <c r="C469" s="770"/>
      <c r="D469" s="362"/>
      <c r="E469" s="727" t="s">
        <v>1659</v>
      </c>
      <c r="F469" s="728">
        <f>2*9</f>
        <v>18</v>
      </c>
      <c r="G469" s="127">
        <v>0</v>
      </c>
      <c r="H469" s="128">
        <f t="shared" si="134"/>
        <v>18</v>
      </c>
      <c r="I469" s="129" t="s">
        <v>20</v>
      </c>
      <c r="J469" s="729">
        <v>0</v>
      </c>
      <c r="K469" s="734">
        <f t="shared" si="135"/>
        <v>0</v>
      </c>
      <c r="L469" s="722"/>
    </row>
    <row r="470" spans="1:13" s="394" customFormat="1" x14ac:dyDescent="0.2">
      <c r="A470" s="714">
        <f>IF(F470&lt;&gt;"",1+MAX($A$1:A469),"")</f>
        <v>291</v>
      </c>
      <c r="B470" s="141" t="s">
        <v>1443</v>
      </c>
      <c r="C470" s="770"/>
      <c r="D470" s="362"/>
      <c r="E470" s="727" t="s">
        <v>1660</v>
      </c>
      <c r="F470" s="728">
        <f>3.14*1*3*9</f>
        <v>84.78</v>
      </c>
      <c r="G470" s="127">
        <v>0.1</v>
      </c>
      <c r="H470" s="128">
        <f t="shared" si="134"/>
        <v>93.25800000000001</v>
      </c>
      <c r="I470" s="129" t="s">
        <v>1030</v>
      </c>
      <c r="J470" s="729">
        <v>0</v>
      </c>
      <c r="K470" s="734">
        <f t="shared" si="135"/>
        <v>0</v>
      </c>
      <c r="L470" s="722"/>
    </row>
    <row r="471" spans="1:13" s="394" customFormat="1" x14ac:dyDescent="0.2">
      <c r="A471" s="714">
        <f>IF(F471&lt;&gt;"",1+MAX($A$1:A470),"")</f>
        <v>292</v>
      </c>
      <c r="B471" s="141" t="s">
        <v>1443</v>
      </c>
      <c r="C471" s="770"/>
      <c r="D471" s="362"/>
      <c r="E471" s="727" t="s">
        <v>1031</v>
      </c>
      <c r="F471" s="728">
        <f>3.14*1.5*1.5*0.25*3.5*9/27</f>
        <v>2.0606249999999999</v>
      </c>
      <c r="G471" s="127">
        <v>0.1</v>
      </c>
      <c r="H471" s="128">
        <f t="shared" si="134"/>
        <v>2.2666875000000002</v>
      </c>
      <c r="I471" s="129" t="s">
        <v>1028</v>
      </c>
      <c r="J471" s="740">
        <f>J$274</f>
        <v>0</v>
      </c>
      <c r="K471" s="734">
        <f t="shared" si="135"/>
        <v>0</v>
      </c>
      <c r="L471" s="722"/>
    </row>
    <row r="472" spans="1:13" s="394" customFormat="1" x14ac:dyDescent="0.2">
      <c r="A472" s="714">
        <f>IF(F472&lt;&gt;"",1+MAX($A$1:A471),"")</f>
        <v>293</v>
      </c>
      <c r="B472" s="141" t="s">
        <v>1443</v>
      </c>
      <c r="C472" s="770"/>
      <c r="D472" s="362"/>
      <c r="E472" s="727" t="s">
        <v>1032</v>
      </c>
      <c r="F472" s="728">
        <f>F471-F468</f>
        <v>1.2756249999999998</v>
      </c>
      <c r="G472" s="127">
        <v>0.1</v>
      </c>
      <c r="H472" s="128">
        <f t="shared" si="134"/>
        <v>1.4031874999999998</v>
      </c>
      <c r="I472" s="129" t="s">
        <v>1028</v>
      </c>
      <c r="J472" s="740">
        <f>J$275</f>
        <v>0</v>
      </c>
      <c r="K472" s="734">
        <f t="shared" si="135"/>
        <v>0</v>
      </c>
      <c r="L472" s="722"/>
    </row>
    <row r="473" spans="1:13" ht="16.5" thickBot="1" x14ac:dyDescent="0.25">
      <c r="A473" s="714" t="str">
        <f>IF(F473&lt;&gt;"",1+MAX($A$1:A472),"")</f>
        <v/>
      </c>
      <c r="B473" s="141"/>
      <c r="C473" s="723"/>
      <c r="D473" s="368"/>
      <c r="E473" s="813"/>
      <c r="F473" s="573"/>
      <c r="G473" s="574"/>
      <c r="H473" s="573"/>
      <c r="I473" s="575"/>
      <c r="J473" s="741"/>
      <c r="K473" s="577"/>
      <c r="L473" s="578"/>
    </row>
    <row r="474" spans="1:13" ht="16.5" thickBot="1" x14ac:dyDescent="0.25">
      <c r="A474" s="714" t="str">
        <f>IF(F474&lt;&gt;"",1+MAX($A$1:A473),"")</f>
        <v/>
      </c>
      <c r="B474" s="726"/>
      <c r="C474" s="726"/>
      <c r="D474" s="370"/>
      <c r="E474" s="742" t="s">
        <v>1661</v>
      </c>
      <c r="F474" s="738"/>
      <c r="G474" s="743"/>
      <c r="H474" s="128"/>
      <c r="I474" s="129"/>
      <c r="J474" s="744"/>
      <c r="K474" s="69"/>
      <c r="L474" s="49">
        <f>SUM(K465:K473)</f>
        <v>0</v>
      </c>
      <c r="M474" s="745"/>
    </row>
    <row r="475" spans="1:13" ht="16.5" thickBot="1" x14ac:dyDescent="0.25">
      <c r="A475" s="714" t="str">
        <f>IF(F475&lt;&gt;"",1+MAX($A$1:A474),"")</f>
        <v/>
      </c>
      <c r="B475" s="141"/>
      <c r="C475" s="770"/>
      <c r="D475" s="370"/>
      <c r="E475" s="771"/>
      <c r="F475" s="728"/>
      <c r="G475" s="772"/>
      <c r="H475" s="128"/>
      <c r="I475" s="129"/>
      <c r="J475" s="762"/>
      <c r="K475" s="780"/>
      <c r="L475" s="722"/>
    </row>
    <row r="476" spans="1:13" ht="16.5" thickBot="1" x14ac:dyDescent="0.25">
      <c r="A476" s="714" t="str">
        <f>IF(F476&lt;&gt;"",1+MAX($A$1:A475),"")</f>
        <v/>
      </c>
      <c r="B476" s="141"/>
      <c r="C476" s="123"/>
      <c r="D476" s="815"/>
      <c r="E476" s="561" t="s">
        <v>1662</v>
      </c>
      <c r="F476" s="537"/>
      <c r="G476" s="718"/>
      <c r="H476" s="719"/>
      <c r="I476" s="720"/>
      <c r="J476" s="721"/>
      <c r="K476" s="811"/>
      <c r="L476" s="722"/>
    </row>
    <row r="477" spans="1:13" s="394" customFormat="1" x14ac:dyDescent="0.2">
      <c r="A477" s="714" t="str">
        <f>IF(F477&lt;&gt;"",1+MAX($A$1:A476),"")</f>
        <v/>
      </c>
      <c r="B477" s="141"/>
      <c r="C477" s="723"/>
      <c r="D477" s="723"/>
      <c r="E477" s="769" t="s">
        <v>1663</v>
      </c>
      <c r="F477" s="738"/>
      <c r="G477" s="127"/>
      <c r="H477" s="140"/>
      <c r="I477" s="141"/>
      <c r="J477" s="762"/>
      <c r="K477" s="730"/>
      <c r="L477" s="722"/>
      <c r="M477" s="749"/>
    </row>
    <row r="478" spans="1:13" s="394" customFormat="1" x14ac:dyDescent="0.2">
      <c r="A478" s="714" t="str">
        <f>IF(F478&lt;&gt;"",1+MAX($A$1:A477),"")</f>
        <v/>
      </c>
      <c r="B478" s="141"/>
      <c r="C478" s="723"/>
      <c r="D478" s="723"/>
      <c r="E478" s="769" t="s">
        <v>1664</v>
      </c>
      <c r="F478" s="738"/>
      <c r="G478" s="127"/>
      <c r="H478" s="140"/>
      <c r="I478" s="141"/>
      <c r="J478" s="762"/>
      <c r="K478" s="730"/>
      <c r="L478" s="722"/>
      <c r="M478" s="749"/>
    </row>
    <row r="479" spans="1:13" s="394" customFormat="1" x14ac:dyDescent="0.2">
      <c r="A479" s="714">
        <f>IF(F479&lt;&gt;"",1+MAX($A$1:A478),"")</f>
        <v>294</v>
      </c>
      <c r="B479" s="141" t="s">
        <v>1665</v>
      </c>
      <c r="C479" s="770" t="s">
        <v>1501</v>
      </c>
      <c r="D479" s="370"/>
      <c r="E479" s="727" t="s">
        <v>1666</v>
      </c>
      <c r="F479" s="728">
        <f>2895*1.25/27</f>
        <v>134.02777777777777</v>
      </c>
      <c r="G479" s="127">
        <v>0.1</v>
      </c>
      <c r="H479" s="128">
        <f t="shared" ref="H479" si="136">F479*(1+G479)</f>
        <v>147.43055555555557</v>
      </c>
      <c r="I479" s="129" t="s">
        <v>1028</v>
      </c>
      <c r="J479" s="740">
        <f>J$235</f>
        <v>0</v>
      </c>
      <c r="K479" s="734">
        <f t="shared" ref="K479" si="137">J479*H479</f>
        <v>0</v>
      </c>
      <c r="L479" s="722"/>
    </row>
    <row r="480" spans="1:13" x14ac:dyDescent="0.2">
      <c r="A480" s="714" t="str">
        <f>IF(F480&lt;&gt;"",1+MAX($A$1:A479),"")</f>
        <v/>
      </c>
      <c r="B480" s="141"/>
      <c r="C480" s="770"/>
      <c r="D480" s="370"/>
      <c r="E480" s="771"/>
      <c r="F480" s="728"/>
      <c r="G480" s="772"/>
      <c r="H480" s="128"/>
      <c r="I480" s="129"/>
      <c r="J480" s="762"/>
      <c r="K480" s="811"/>
      <c r="L480" s="722"/>
    </row>
    <row r="481" spans="1:13" s="394" customFormat="1" x14ac:dyDescent="0.2">
      <c r="A481" s="714">
        <f>IF(F481&lt;&gt;"",1+MAX($A$1:A480),"")</f>
        <v>295</v>
      </c>
      <c r="B481" s="141"/>
      <c r="C481" s="723"/>
      <c r="D481" s="723"/>
      <c r="E481" s="769" t="s">
        <v>1667</v>
      </c>
      <c r="F481" s="738">
        <v>172</v>
      </c>
      <c r="G481" s="127"/>
      <c r="H481" s="140"/>
      <c r="I481" s="141"/>
      <c r="J481" s="762"/>
      <c r="K481" s="730"/>
      <c r="L481" s="722"/>
      <c r="M481" s="749"/>
    </row>
    <row r="482" spans="1:13" s="394" customFormat="1" x14ac:dyDescent="0.2">
      <c r="A482" s="714">
        <f>IF(F482&lt;&gt;"",1+MAX($A$1:A481),"")</f>
        <v>296</v>
      </c>
      <c r="B482" s="141" t="s">
        <v>1668</v>
      </c>
      <c r="C482" s="770" t="s">
        <v>1492</v>
      </c>
      <c r="D482" s="370"/>
      <c r="E482" s="727" t="s">
        <v>1669</v>
      </c>
      <c r="F482" s="728">
        <f>172*0.34/27</f>
        <v>2.1659259259259263</v>
      </c>
      <c r="G482" s="127">
        <v>0.1</v>
      </c>
      <c r="H482" s="128">
        <f t="shared" ref="H482:H486" si="138">F482*(1+G482)</f>
        <v>2.3825185185185189</v>
      </c>
      <c r="I482" s="129" t="s">
        <v>1028</v>
      </c>
      <c r="J482" s="740">
        <f>J$124</f>
        <v>0</v>
      </c>
      <c r="K482" s="734">
        <f t="shared" ref="K482:K486" si="139">J482*H482</f>
        <v>0</v>
      </c>
      <c r="L482" s="722"/>
    </row>
    <row r="483" spans="1:13" s="394" customFormat="1" x14ac:dyDescent="0.2">
      <c r="A483" s="714">
        <f>IF(F483&lt;&gt;"",1+MAX($A$1:A482),"")</f>
        <v>297</v>
      </c>
      <c r="B483" s="141" t="s">
        <v>1668</v>
      </c>
      <c r="C483" s="770" t="s">
        <v>1492</v>
      </c>
      <c r="D483" s="370"/>
      <c r="E483" s="727" t="s">
        <v>1666</v>
      </c>
      <c r="F483" s="728">
        <f>172*(14/12)/27</f>
        <v>7.4320987654320998</v>
      </c>
      <c r="G483" s="127">
        <v>0.1</v>
      </c>
      <c r="H483" s="128">
        <f t="shared" si="138"/>
        <v>8.1753086419753096</v>
      </c>
      <c r="I483" s="129" t="s">
        <v>1028</v>
      </c>
      <c r="J483" s="740">
        <f>J$235</f>
        <v>0</v>
      </c>
      <c r="K483" s="734">
        <f t="shared" si="139"/>
        <v>0</v>
      </c>
      <c r="L483" s="722"/>
    </row>
    <row r="484" spans="1:13" s="394" customFormat="1" x14ac:dyDescent="0.2">
      <c r="A484" s="714">
        <f>IF(F484&lt;&gt;"",1+MAX($A$1:A483),"")</f>
        <v>298</v>
      </c>
      <c r="B484" s="141" t="s">
        <v>1668</v>
      </c>
      <c r="C484" s="770" t="s">
        <v>1492</v>
      </c>
      <c r="D484" s="370"/>
      <c r="E484" s="727" t="s">
        <v>1670</v>
      </c>
      <c r="F484" s="728">
        <f>172*2+121.77*1.5</f>
        <v>526.65499999999997</v>
      </c>
      <c r="G484" s="127">
        <v>0.1</v>
      </c>
      <c r="H484" s="128">
        <f t="shared" si="138"/>
        <v>579.32050000000004</v>
      </c>
      <c r="I484" s="129" t="s">
        <v>18</v>
      </c>
      <c r="J484" s="729">
        <v>0</v>
      </c>
      <c r="K484" s="734">
        <f t="shared" si="139"/>
        <v>0</v>
      </c>
      <c r="L484" s="722"/>
    </row>
    <row r="485" spans="1:13" s="394" customFormat="1" x14ac:dyDescent="0.2">
      <c r="A485" s="714">
        <f>IF(F485&lt;&gt;"",1+MAX($A$1:A484),"")</f>
        <v>299</v>
      </c>
      <c r="B485" s="141" t="s">
        <v>1668</v>
      </c>
      <c r="C485" s="770" t="s">
        <v>1492</v>
      </c>
      <c r="D485" s="370"/>
      <c r="E485" s="727" t="s">
        <v>1671</v>
      </c>
      <c r="F485" s="728">
        <f>172+121.77*1.5</f>
        <v>354.65499999999997</v>
      </c>
      <c r="G485" s="127">
        <v>0.1</v>
      </c>
      <c r="H485" s="128">
        <f t="shared" si="138"/>
        <v>390.12049999999999</v>
      </c>
      <c r="I485" s="129" t="s">
        <v>18</v>
      </c>
      <c r="J485" s="729">
        <v>0</v>
      </c>
      <c r="K485" s="734">
        <f t="shared" si="139"/>
        <v>0</v>
      </c>
      <c r="L485" s="722"/>
    </row>
    <row r="486" spans="1:13" s="394" customFormat="1" x14ac:dyDescent="0.2">
      <c r="A486" s="714">
        <f>IF(F486&lt;&gt;"",1+MAX($A$1:A485),"")</f>
        <v>300</v>
      </c>
      <c r="B486" s="141" t="s">
        <v>1668</v>
      </c>
      <c r="C486" s="770" t="s">
        <v>1492</v>
      </c>
      <c r="D486" s="370"/>
      <c r="E486" s="727" t="s">
        <v>1672</v>
      </c>
      <c r="F486" s="728">
        <v>2</v>
      </c>
      <c r="G486" s="127">
        <v>0</v>
      </c>
      <c r="H486" s="128">
        <f t="shared" si="138"/>
        <v>2</v>
      </c>
      <c r="I486" s="129" t="s">
        <v>20</v>
      </c>
      <c r="J486" s="729">
        <v>0</v>
      </c>
      <c r="K486" s="734">
        <f t="shared" si="139"/>
        <v>0</v>
      </c>
      <c r="L486" s="722"/>
    </row>
    <row r="487" spans="1:13" x14ac:dyDescent="0.2">
      <c r="A487" s="714" t="str">
        <f>IF(F487&lt;&gt;"",1+MAX($A$1:A486),"")</f>
        <v/>
      </c>
      <c r="B487" s="141"/>
      <c r="C487" s="770"/>
      <c r="D487" s="370"/>
      <c r="E487" s="771"/>
      <c r="F487" s="728"/>
      <c r="G487" s="772"/>
      <c r="H487" s="128"/>
      <c r="I487" s="129"/>
      <c r="J487" s="762"/>
      <c r="K487" s="811"/>
      <c r="L487" s="722"/>
    </row>
    <row r="488" spans="1:13" s="394" customFormat="1" x14ac:dyDescent="0.2">
      <c r="A488" s="714">
        <f>IF(F488&lt;&gt;"",1+MAX($A$1:A487),"")</f>
        <v>301</v>
      </c>
      <c r="B488" s="141"/>
      <c r="C488" s="723"/>
      <c r="D488" s="723"/>
      <c r="E488" s="769" t="s">
        <v>1673</v>
      </c>
      <c r="F488" s="738">
        <v>828</v>
      </c>
      <c r="G488" s="127"/>
      <c r="H488" s="140"/>
      <c r="I488" s="141"/>
      <c r="J488" s="762"/>
      <c r="K488" s="730"/>
      <c r="L488" s="722"/>
      <c r="M488" s="749"/>
    </row>
    <row r="489" spans="1:13" s="394" customFormat="1" x14ac:dyDescent="0.2">
      <c r="A489" s="714">
        <f>IF(F489&lt;&gt;"",1+MAX($A$1:A488),"")</f>
        <v>302</v>
      </c>
      <c r="B489" s="141" t="s">
        <v>1674</v>
      </c>
      <c r="C489" s="770" t="s">
        <v>1492</v>
      </c>
      <c r="D489" s="370"/>
      <c r="E489" s="727" t="s">
        <v>1669</v>
      </c>
      <c r="F489" s="728">
        <f>828*0.34/27</f>
        <v>10.426666666666668</v>
      </c>
      <c r="G489" s="127">
        <v>0.1</v>
      </c>
      <c r="H489" s="128">
        <f t="shared" ref="H489:H493" si="140">F489*(1+G489)</f>
        <v>11.469333333333335</v>
      </c>
      <c r="I489" s="129" t="s">
        <v>1028</v>
      </c>
      <c r="J489" s="740">
        <f>J$124</f>
        <v>0</v>
      </c>
      <c r="K489" s="734">
        <f t="shared" ref="K489:K493" si="141">J489*H489</f>
        <v>0</v>
      </c>
      <c r="L489" s="722"/>
    </row>
    <row r="490" spans="1:13" s="394" customFormat="1" x14ac:dyDescent="0.2">
      <c r="A490" s="714">
        <f>IF(F490&lt;&gt;"",1+MAX($A$1:A489),"")</f>
        <v>303</v>
      </c>
      <c r="B490" s="141" t="s">
        <v>1674</v>
      </c>
      <c r="C490" s="770" t="s">
        <v>1492</v>
      </c>
      <c r="D490" s="370"/>
      <c r="E490" s="727" t="s">
        <v>1666</v>
      </c>
      <c r="F490" s="728">
        <f>828*(22/12)/27</f>
        <v>56.222222222222221</v>
      </c>
      <c r="G490" s="127">
        <v>0.1</v>
      </c>
      <c r="H490" s="128">
        <f t="shared" si="140"/>
        <v>61.844444444444449</v>
      </c>
      <c r="I490" s="129" t="s">
        <v>1028</v>
      </c>
      <c r="J490" s="740">
        <f>J$235</f>
        <v>0</v>
      </c>
      <c r="K490" s="734">
        <f t="shared" si="141"/>
        <v>0</v>
      </c>
      <c r="L490" s="722"/>
    </row>
    <row r="491" spans="1:13" s="394" customFormat="1" x14ac:dyDescent="0.2">
      <c r="A491" s="714">
        <f>IF(F491&lt;&gt;"",1+MAX($A$1:A490),"")</f>
        <v>304</v>
      </c>
      <c r="B491" s="141" t="s">
        <v>1674</v>
      </c>
      <c r="C491" s="770" t="s">
        <v>1492</v>
      </c>
      <c r="D491" s="370"/>
      <c r="E491" s="727" t="s">
        <v>1670</v>
      </c>
      <c r="F491" s="728">
        <f>828*2+572.75*(26/12)</f>
        <v>2896.958333333333</v>
      </c>
      <c r="G491" s="127">
        <v>0.1</v>
      </c>
      <c r="H491" s="128">
        <f t="shared" si="140"/>
        <v>3186.6541666666667</v>
      </c>
      <c r="I491" s="129" t="s">
        <v>18</v>
      </c>
      <c r="J491" s="731">
        <f>J$484</f>
        <v>0</v>
      </c>
      <c r="K491" s="734">
        <f t="shared" si="141"/>
        <v>0</v>
      </c>
      <c r="L491" s="722"/>
    </row>
    <row r="492" spans="1:13" s="394" customFormat="1" x14ac:dyDescent="0.2">
      <c r="A492" s="714">
        <f>IF(F492&lt;&gt;"",1+MAX($A$1:A491),"")</f>
        <v>305</v>
      </c>
      <c r="B492" s="141" t="s">
        <v>1674</v>
      </c>
      <c r="C492" s="770" t="s">
        <v>1492</v>
      </c>
      <c r="D492" s="370"/>
      <c r="E492" s="727" t="s">
        <v>1671</v>
      </c>
      <c r="F492" s="728">
        <f>828+572.75*(26/12)</f>
        <v>2068.958333333333</v>
      </c>
      <c r="G492" s="127">
        <v>0.1</v>
      </c>
      <c r="H492" s="128">
        <f t="shared" si="140"/>
        <v>2275.8541666666665</v>
      </c>
      <c r="I492" s="129" t="s">
        <v>18</v>
      </c>
      <c r="J492" s="740">
        <f>J$485</f>
        <v>0</v>
      </c>
      <c r="K492" s="734">
        <f t="shared" si="141"/>
        <v>0</v>
      </c>
      <c r="L492" s="722"/>
    </row>
    <row r="493" spans="1:13" s="394" customFormat="1" x14ac:dyDescent="0.2">
      <c r="A493" s="714">
        <f>IF(F493&lt;&gt;"",1+MAX($A$1:A492),"")</f>
        <v>306</v>
      </c>
      <c r="B493" s="141" t="s">
        <v>1674</v>
      </c>
      <c r="C493" s="770" t="s">
        <v>1492</v>
      </c>
      <c r="D493" s="370"/>
      <c r="E493" s="727" t="s">
        <v>1672</v>
      </c>
      <c r="F493" s="728">
        <v>14</v>
      </c>
      <c r="G493" s="127">
        <v>0</v>
      </c>
      <c r="H493" s="128">
        <f t="shared" si="140"/>
        <v>14</v>
      </c>
      <c r="I493" s="129" t="s">
        <v>20</v>
      </c>
      <c r="J493" s="731">
        <f>J$486</f>
        <v>0</v>
      </c>
      <c r="K493" s="734">
        <f t="shared" si="141"/>
        <v>0</v>
      </c>
      <c r="L493" s="722"/>
    </row>
    <row r="494" spans="1:13" s="394" customFormat="1" x14ac:dyDescent="0.2">
      <c r="A494" s="714" t="str">
        <f>IF(F494&lt;&gt;"",1+MAX($A$1:A493),"")</f>
        <v/>
      </c>
      <c r="B494" s="141"/>
      <c r="C494" s="770"/>
      <c r="D494" s="370"/>
      <c r="E494" s="727"/>
      <c r="F494" s="728"/>
      <c r="G494" s="127"/>
      <c r="H494" s="140"/>
      <c r="I494" s="141"/>
      <c r="J494" s="731"/>
      <c r="K494" s="816"/>
      <c r="L494" s="722"/>
    </row>
    <row r="495" spans="1:13" s="394" customFormat="1" x14ac:dyDescent="0.2">
      <c r="A495" s="714">
        <f>IF(F495&lt;&gt;"",1+MAX($A$1:A494),"")</f>
        <v>307</v>
      </c>
      <c r="B495" s="141"/>
      <c r="C495" s="723"/>
      <c r="D495" s="723"/>
      <c r="E495" s="769" t="s">
        <v>1675</v>
      </c>
      <c r="F495" s="738">
        <v>305</v>
      </c>
      <c r="G495" s="127"/>
      <c r="H495" s="140"/>
      <c r="I495" s="141"/>
      <c r="J495" s="762"/>
      <c r="K495" s="730"/>
      <c r="L495" s="722"/>
      <c r="M495" s="749"/>
    </row>
    <row r="496" spans="1:13" s="394" customFormat="1" x14ac:dyDescent="0.2">
      <c r="A496" s="714">
        <f>IF(F496&lt;&gt;"",1+MAX($A$1:A495),"")</f>
        <v>308</v>
      </c>
      <c r="B496" s="141" t="s">
        <v>1676</v>
      </c>
      <c r="C496" s="770" t="s">
        <v>1492</v>
      </c>
      <c r="D496" s="370"/>
      <c r="E496" s="727" t="s">
        <v>1669</v>
      </c>
      <c r="F496" s="728">
        <f>305*0.34/27</f>
        <v>3.840740740740741</v>
      </c>
      <c r="G496" s="127">
        <v>0.1</v>
      </c>
      <c r="H496" s="128">
        <f t="shared" ref="H496:H500" si="142">F496*(1+G496)</f>
        <v>4.224814814814815</v>
      </c>
      <c r="I496" s="129" t="s">
        <v>1028</v>
      </c>
      <c r="J496" s="740">
        <f>J$124</f>
        <v>0</v>
      </c>
      <c r="K496" s="734">
        <f t="shared" ref="K496:K500" si="143">J496*H496</f>
        <v>0</v>
      </c>
      <c r="L496" s="722"/>
    </row>
    <row r="497" spans="1:13" s="394" customFormat="1" x14ac:dyDescent="0.2">
      <c r="A497" s="714">
        <f>IF(F497&lt;&gt;"",1+MAX($A$1:A496),"")</f>
        <v>309</v>
      </c>
      <c r="B497" s="141" t="s">
        <v>1676</v>
      </c>
      <c r="C497" s="770" t="s">
        <v>1492</v>
      </c>
      <c r="D497" s="370"/>
      <c r="E497" s="727" t="s">
        <v>1666</v>
      </c>
      <c r="F497" s="728">
        <f>305*(32/12)/27</f>
        <v>30.123456790123456</v>
      </c>
      <c r="G497" s="127">
        <v>0.1</v>
      </c>
      <c r="H497" s="128">
        <f t="shared" si="142"/>
        <v>33.135802469135804</v>
      </c>
      <c r="I497" s="129" t="s">
        <v>1028</v>
      </c>
      <c r="J497" s="740">
        <f>J$235</f>
        <v>0</v>
      </c>
      <c r="K497" s="734">
        <f t="shared" si="143"/>
        <v>0</v>
      </c>
      <c r="L497" s="722"/>
    </row>
    <row r="498" spans="1:13" s="394" customFormat="1" x14ac:dyDescent="0.2">
      <c r="A498" s="714">
        <f>IF(F498&lt;&gt;"",1+MAX($A$1:A497),"")</f>
        <v>310</v>
      </c>
      <c r="B498" s="141" t="s">
        <v>1676</v>
      </c>
      <c r="C498" s="770" t="s">
        <v>1492</v>
      </c>
      <c r="D498" s="370"/>
      <c r="E498" s="727" t="s">
        <v>1670</v>
      </c>
      <c r="F498" s="728">
        <f>305*2+362.38*3</f>
        <v>1697.1399999999999</v>
      </c>
      <c r="G498" s="127">
        <v>0.1</v>
      </c>
      <c r="H498" s="128">
        <f t="shared" si="142"/>
        <v>1866.854</v>
      </c>
      <c r="I498" s="129" t="s">
        <v>18</v>
      </c>
      <c r="J498" s="731">
        <f>J$484</f>
        <v>0</v>
      </c>
      <c r="K498" s="734">
        <f t="shared" si="143"/>
        <v>0</v>
      </c>
      <c r="L498" s="722"/>
    </row>
    <row r="499" spans="1:13" s="394" customFormat="1" x14ac:dyDescent="0.2">
      <c r="A499" s="714">
        <f>IF(F499&lt;&gt;"",1+MAX($A$1:A498),"")</f>
        <v>311</v>
      </c>
      <c r="B499" s="141" t="s">
        <v>1676</v>
      </c>
      <c r="C499" s="770" t="s">
        <v>1492</v>
      </c>
      <c r="D499" s="370"/>
      <c r="E499" s="727" t="s">
        <v>1671</v>
      </c>
      <c r="F499" s="728">
        <f>305+362.38*3</f>
        <v>1392.1399999999999</v>
      </c>
      <c r="G499" s="127">
        <v>0.1</v>
      </c>
      <c r="H499" s="128">
        <f t="shared" si="142"/>
        <v>1531.354</v>
      </c>
      <c r="I499" s="129" t="s">
        <v>18</v>
      </c>
      <c r="J499" s="740">
        <f>J$485</f>
        <v>0</v>
      </c>
      <c r="K499" s="734">
        <f t="shared" si="143"/>
        <v>0</v>
      </c>
      <c r="L499" s="722"/>
    </row>
    <row r="500" spans="1:13" s="394" customFormat="1" x14ac:dyDescent="0.2">
      <c r="A500" s="714">
        <f>IF(F500&lt;&gt;"",1+MAX($A$1:A499),"")</f>
        <v>312</v>
      </c>
      <c r="B500" s="141" t="s">
        <v>1676</v>
      </c>
      <c r="C500" s="770" t="s">
        <v>1492</v>
      </c>
      <c r="D500" s="370"/>
      <c r="E500" s="727" t="s">
        <v>1672</v>
      </c>
      <c r="F500" s="728">
        <v>25</v>
      </c>
      <c r="G500" s="127">
        <v>0</v>
      </c>
      <c r="H500" s="128">
        <f t="shared" si="142"/>
        <v>25</v>
      </c>
      <c r="I500" s="129" t="s">
        <v>20</v>
      </c>
      <c r="J500" s="731">
        <f>J$486</f>
        <v>0</v>
      </c>
      <c r="K500" s="734">
        <f t="shared" si="143"/>
        <v>0</v>
      </c>
      <c r="L500" s="722"/>
    </row>
    <row r="501" spans="1:13" x14ac:dyDescent="0.2">
      <c r="A501" s="714" t="str">
        <f>IF(F501&lt;&gt;"",1+MAX($A$1:A500),"")</f>
        <v/>
      </c>
      <c r="B501" s="141"/>
      <c r="C501" s="770"/>
      <c r="D501" s="370"/>
      <c r="E501" s="771"/>
      <c r="F501" s="728"/>
      <c r="G501" s="772"/>
      <c r="H501" s="128"/>
      <c r="I501" s="129"/>
      <c r="J501" s="762"/>
      <c r="K501" s="811"/>
      <c r="L501" s="722"/>
    </row>
    <row r="502" spans="1:13" s="394" customFormat="1" x14ac:dyDescent="0.2">
      <c r="A502" s="714">
        <f>IF(F502&lt;&gt;"",1+MAX($A$1:A501),"")</f>
        <v>313</v>
      </c>
      <c r="B502" s="141"/>
      <c r="C502" s="723"/>
      <c r="D502" s="723"/>
      <c r="E502" s="769" t="s">
        <v>1677</v>
      </c>
      <c r="F502" s="738">
        <v>579</v>
      </c>
      <c r="G502" s="127"/>
      <c r="H502" s="140"/>
      <c r="I502" s="141"/>
      <c r="J502" s="762"/>
      <c r="K502" s="730"/>
      <c r="L502" s="722"/>
      <c r="M502" s="749"/>
    </row>
    <row r="503" spans="1:13" s="394" customFormat="1" x14ac:dyDescent="0.2">
      <c r="A503" s="714">
        <f>IF(F503&lt;&gt;"",1+MAX($A$1:A502),"")</f>
        <v>314</v>
      </c>
      <c r="B503" s="141" t="s">
        <v>1676</v>
      </c>
      <c r="C503" s="770" t="s">
        <v>1492</v>
      </c>
      <c r="D503" s="370"/>
      <c r="E503" s="727" t="s">
        <v>1669</v>
      </c>
      <c r="F503" s="728">
        <f>579*0.34/27</f>
        <v>7.2911111111111113</v>
      </c>
      <c r="G503" s="127">
        <v>0.1</v>
      </c>
      <c r="H503" s="128">
        <f t="shared" ref="H503:H507" si="144">F503*(1+G503)</f>
        <v>8.0202222222222233</v>
      </c>
      <c r="I503" s="129" t="s">
        <v>1028</v>
      </c>
      <c r="J503" s="740">
        <f>J$124</f>
        <v>0</v>
      </c>
      <c r="K503" s="734">
        <f t="shared" ref="K503:K507" si="145">J503*H503</f>
        <v>0</v>
      </c>
      <c r="L503" s="722"/>
    </row>
    <row r="504" spans="1:13" s="394" customFormat="1" x14ac:dyDescent="0.2">
      <c r="A504" s="714">
        <f>IF(F504&lt;&gt;"",1+MAX($A$1:A503),"")</f>
        <v>315</v>
      </c>
      <c r="B504" s="141" t="s">
        <v>1676</v>
      </c>
      <c r="C504" s="770" t="s">
        <v>1492</v>
      </c>
      <c r="D504" s="370"/>
      <c r="E504" s="727" t="s">
        <v>1666</v>
      </c>
      <c r="F504" s="728">
        <f>579*(38/12)/27</f>
        <v>67.907407407407405</v>
      </c>
      <c r="G504" s="127">
        <v>0.1</v>
      </c>
      <c r="H504" s="128">
        <f t="shared" si="144"/>
        <v>74.69814814814815</v>
      </c>
      <c r="I504" s="129" t="s">
        <v>1028</v>
      </c>
      <c r="J504" s="740">
        <f>J$235</f>
        <v>0</v>
      </c>
      <c r="K504" s="734">
        <f t="shared" si="145"/>
        <v>0</v>
      </c>
      <c r="L504" s="722"/>
    </row>
    <row r="505" spans="1:13" s="394" customFormat="1" x14ac:dyDescent="0.2">
      <c r="A505" s="714">
        <f>IF(F505&lt;&gt;"",1+MAX($A$1:A504),"")</f>
        <v>316</v>
      </c>
      <c r="B505" s="141" t="s">
        <v>1676</v>
      </c>
      <c r="C505" s="770" t="s">
        <v>1492</v>
      </c>
      <c r="D505" s="370"/>
      <c r="E505" s="727" t="s">
        <v>1670</v>
      </c>
      <c r="F505" s="728">
        <f>579*2+328.64*(42/12)</f>
        <v>2308.2399999999998</v>
      </c>
      <c r="G505" s="127">
        <v>0.1</v>
      </c>
      <c r="H505" s="128">
        <f t="shared" si="144"/>
        <v>2539.0639999999999</v>
      </c>
      <c r="I505" s="129" t="s">
        <v>18</v>
      </c>
      <c r="J505" s="731">
        <f>J$484</f>
        <v>0</v>
      </c>
      <c r="K505" s="734">
        <f t="shared" si="145"/>
        <v>0</v>
      </c>
      <c r="L505" s="722"/>
    </row>
    <row r="506" spans="1:13" s="394" customFormat="1" x14ac:dyDescent="0.2">
      <c r="A506" s="714">
        <f>IF(F506&lt;&gt;"",1+MAX($A$1:A505),"")</f>
        <v>317</v>
      </c>
      <c r="B506" s="141" t="s">
        <v>1676</v>
      </c>
      <c r="C506" s="770" t="s">
        <v>1492</v>
      </c>
      <c r="D506" s="370"/>
      <c r="E506" s="727" t="s">
        <v>1671</v>
      </c>
      <c r="F506" s="728">
        <f>579+328.38*(42/12)</f>
        <v>1728.33</v>
      </c>
      <c r="G506" s="127">
        <v>0.1</v>
      </c>
      <c r="H506" s="128">
        <f t="shared" si="144"/>
        <v>1901.163</v>
      </c>
      <c r="I506" s="129" t="s">
        <v>18</v>
      </c>
      <c r="J506" s="740">
        <f>J$485</f>
        <v>0</v>
      </c>
      <c r="K506" s="734">
        <f t="shared" si="145"/>
        <v>0</v>
      </c>
      <c r="L506" s="722"/>
    </row>
    <row r="507" spans="1:13" s="394" customFormat="1" x14ac:dyDescent="0.2">
      <c r="A507" s="714">
        <f>IF(F507&lt;&gt;"",1+MAX($A$1:A506),"")</f>
        <v>318</v>
      </c>
      <c r="B507" s="141" t="s">
        <v>1676</v>
      </c>
      <c r="C507" s="770" t="s">
        <v>1492</v>
      </c>
      <c r="D507" s="370"/>
      <c r="E507" s="727" t="s">
        <v>1672</v>
      </c>
      <c r="F507" s="728">
        <v>8</v>
      </c>
      <c r="G507" s="127">
        <v>0</v>
      </c>
      <c r="H507" s="128">
        <f t="shared" si="144"/>
        <v>8</v>
      </c>
      <c r="I507" s="129" t="s">
        <v>20</v>
      </c>
      <c r="J507" s="731">
        <f>J$486</f>
        <v>0</v>
      </c>
      <c r="K507" s="734">
        <f t="shared" si="145"/>
        <v>0</v>
      </c>
      <c r="L507" s="722"/>
    </row>
    <row r="508" spans="1:13" x14ac:dyDescent="0.2">
      <c r="A508" s="714" t="str">
        <f>IF(F508&lt;&gt;"",1+MAX($A$1:A507),"")</f>
        <v/>
      </c>
      <c r="B508" s="141"/>
      <c r="C508" s="770"/>
      <c r="D508" s="370"/>
      <c r="E508" s="771"/>
      <c r="F508" s="728"/>
      <c r="G508" s="772"/>
      <c r="H508" s="128"/>
      <c r="I508" s="129"/>
      <c r="J508" s="762"/>
      <c r="K508" s="811"/>
      <c r="L508" s="722"/>
    </row>
    <row r="509" spans="1:13" s="394" customFormat="1" x14ac:dyDescent="0.2">
      <c r="A509" s="714">
        <f>IF(F509&lt;&gt;"",1+MAX($A$1:A508),"")</f>
        <v>319</v>
      </c>
      <c r="B509" s="141"/>
      <c r="C509" s="723"/>
      <c r="D509" s="723"/>
      <c r="E509" s="769" t="s">
        <v>1678</v>
      </c>
      <c r="F509" s="738">
        <v>71</v>
      </c>
      <c r="G509" s="127"/>
      <c r="H509" s="140"/>
      <c r="I509" s="141"/>
      <c r="J509" s="762"/>
      <c r="K509" s="730"/>
      <c r="L509" s="722"/>
      <c r="M509" s="749"/>
    </row>
    <row r="510" spans="1:13" s="394" customFormat="1" x14ac:dyDescent="0.2">
      <c r="A510" s="714">
        <f>IF(F510&lt;&gt;"",1+MAX($A$1:A509),"")</f>
        <v>320</v>
      </c>
      <c r="B510" s="141" t="s">
        <v>1676</v>
      </c>
      <c r="C510" s="770" t="s">
        <v>1492</v>
      </c>
      <c r="D510" s="370"/>
      <c r="E510" s="727" t="s">
        <v>1669</v>
      </c>
      <c r="F510" s="728">
        <f>71*0.34/27</f>
        <v>0.89407407407407413</v>
      </c>
      <c r="G510" s="127">
        <v>0.1</v>
      </c>
      <c r="H510" s="128">
        <f t="shared" ref="H510:H514" si="146">F510*(1+G510)</f>
        <v>0.98348148148148162</v>
      </c>
      <c r="I510" s="129" t="s">
        <v>1028</v>
      </c>
      <c r="J510" s="740">
        <f>J$124</f>
        <v>0</v>
      </c>
      <c r="K510" s="734">
        <f t="shared" ref="K510:K514" si="147">J510*H510</f>
        <v>0</v>
      </c>
      <c r="L510" s="722"/>
    </row>
    <row r="511" spans="1:13" s="394" customFormat="1" x14ac:dyDescent="0.2">
      <c r="A511" s="714">
        <f>IF(F511&lt;&gt;"",1+MAX($A$1:A510),"")</f>
        <v>321</v>
      </c>
      <c r="B511" s="141" t="s">
        <v>1676</v>
      </c>
      <c r="C511" s="770" t="s">
        <v>1492</v>
      </c>
      <c r="D511" s="370"/>
      <c r="E511" s="727" t="s">
        <v>1666</v>
      </c>
      <c r="F511" s="728">
        <f>71*(44/12)/27</f>
        <v>9.6419753086419746</v>
      </c>
      <c r="G511" s="127">
        <v>0.1</v>
      </c>
      <c r="H511" s="128">
        <f t="shared" si="146"/>
        <v>10.606172839506172</v>
      </c>
      <c r="I511" s="129" t="s">
        <v>1028</v>
      </c>
      <c r="J511" s="740">
        <f>J$235</f>
        <v>0</v>
      </c>
      <c r="K511" s="734">
        <f t="shared" si="147"/>
        <v>0</v>
      </c>
      <c r="L511" s="722"/>
    </row>
    <row r="512" spans="1:13" s="394" customFormat="1" x14ac:dyDescent="0.2">
      <c r="A512" s="714">
        <f>IF(F512&lt;&gt;"",1+MAX($A$1:A511),"")</f>
        <v>322</v>
      </c>
      <c r="B512" s="141" t="s">
        <v>1676</v>
      </c>
      <c r="C512" s="770" t="s">
        <v>1492</v>
      </c>
      <c r="D512" s="370"/>
      <c r="E512" s="727" t="s">
        <v>1670</v>
      </c>
      <c r="F512" s="728">
        <f>71*2+70.68*4</f>
        <v>424.72</v>
      </c>
      <c r="G512" s="127">
        <v>0.1</v>
      </c>
      <c r="H512" s="128">
        <f t="shared" si="146"/>
        <v>467.19200000000006</v>
      </c>
      <c r="I512" s="129" t="s">
        <v>18</v>
      </c>
      <c r="J512" s="731">
        <f>J$484</f>
        <v>0</v>
      </c>
      <c r="K512" s="734">
        <f t="shared" si="147"/>
        <v>0</v>
      </c>
      <c r="L512" s="722"/>
    </row>
    <row r="513" spans="1:13" s="394" customFormat="1" x14ac:dyDescent="0.2">
      <c r="A513" s="714">
        <f>IF(F513&lt;&gt;"",1+MAX($A$1:A512),"")</f>
        <v>323</v>
      </c>
      <c r="B513" s="141" t="s">
        <v>1676</v>
      </c>
      <c r="C513" s="770" t="s">
        <v>1492</v>
      </c>
      <c r="D513" s="370"/>
      <c r="E513" s="727" t="s">
        <v>1671</v>
      </c>
      <c r="F513" s="728">
        <f>71+70.68*4</f>
        <v>353.72</v>
      </c>
      <c r="G513" s="127">
        <v>0.1</v>
      </c>
      <c r="H513" s="128">
        <f t="shared" si="146"/>
        <v>389.09200000000004</v>
      </c>
      <c r="I513" s="129" t="s">
        <v>18</v>
      </c>
      <c r="J513" s="740">
        <f>J$485</f>
        <v>0</v>
      </c>
      <c r="K513" s="734">
        <f t="shared" si="147"/>
        <v>0</v>
      </c>
      <c r="L513" s="722"/>
    </row>
    <row r="514" spans="1:13" s="394" customFormat="1" x14ac:dyDescent="0.2">
      <c r="A514" s="714">
        <f>IF(F514&lt;&gt;"",1+MAX($A$1:A513),"")</f>
        <v>324</v>
      </c>
      <c r="B514" s="141" t="s">
        <v>1676</v>
      </c>
      <c r="C514" s="770" t="s">
        <v>1492</v>
      </c>
      <c r="D514" s="370"/>
      <c r="E514" s="727" t="s">
        <v>1672</v>
      </c>
      <c r="F514" s="728">
        <v>4</v>
      </c>
      <c r="G514" s="127">
        <v>0</v>
      </c>
      <c r="H514" s="128">
        <f t="shared" si="146"/>
        <v>4</v>
      </c>
      <c r="I514" s="129" t="s">
        <v>20</v>
      </c>
      <c r="J514" s="731">
        <f>J$486</f>
        <v>0</v>
      </c>
      <c r="K514" s="734">
        <f t="shared" si="147"/>
        <v>0</v>
      </c>
      <c r="L514" s="722"/>
    </row>
    <row r="515" spans="1:13" x14ac:dyDescent="0.2">
      <c r="A515" s="714" t="str">
        <f>IF(F515&lt;&gt;"",1+MAX($A$1:A514),"")</f>
        <v/>
      </c>
      <c r="B515" s="141"/>
      <c r="C515" s="770"/>
      <c r="D515" s="370"/>
      <c r="E515" s="771"/>
      <c r="F515" s="728"/>
      <c r="G515" s="772"/>
      <c r="H515" s="128"/>
      <c r="I515" s="129"/>
      <c r="J515" s="762"/>
      <c r="K515" s="780"/>
      <c r="L515" s="722"/>
    </row>
    <row r="516" spans="1:13" s="394" customFormat="1" x14ac:dyDescent="0.2">
      <c r="A516" s="714" t="str">
        <f>IF(F516&lt;&gt;"",1+MAX($A$1:A515),"")</f>
        <v/>
      </c>
      <c r="B516" s="141"/>
      <c r="C516" s="723"/>
      <c r="D516" s="723"/>
      <c r="E516" s="769" t="s">
        <v>1679</v>
      </c>
      <c r="F516" s="738"/>
      <c r="G516" s="127"/>
      <c r="H516" s="140"/>
      <c r="I516" s="141"/>
      <c r="J516" s="762"/>
      <c r="K516" s="730"/>
      <c r="L516" s="722"/>
      <c r="M516" s="749"/>
    </row>
    <row r="517" spans="1:13" ht="31.5" x14ac:dyDescent="0.2">
      <c r="A517" s="714">
        <f>IF(F517&lt;&gt;"",1+MAX($A$1:A516),"")</f>
        <v>325</v>
      </c>
      <c r="B517" s="141" t="s">
        <v>1680</v>
      </c>
      <c r="C517" s="723" t="s">
        <v>1681</v>
      </c>
      <c r="D517" s="726"/>
      <c r="E517" s="733" t="s">
        <v>1682</v>
      </c>
      <c r="F517" s="738">
        <v>3</v>
      </c>
      <c r="G517" s="127">
        <v>0</v>
      </c>
      <c r="H517" s="128">
        <f t="shared" ref="H517:H524" si="148">F517*(1+G517)</f>
        <v>3</v>
      </c>
      <c r="I517" s="129" t="s">
        <v>20</v>
      </c>
      <c r="J517" s="729">
        <v>0</v>
      </c>
      <c r="K517" s="734">
        <f t="shared" ref="K517:K524" si="149">J517*H517</f>
        <v>0</v>
      </c>
      <c r="L517" s="722"/>
    </row>
    <row r="518" spans="1:13" ht="31.5" x14ac:dyDescent="0.2">
      <c r="A518" s="714">
        <f>IF(F518&lt;&gt;"",1+MAX($A$1:A517),"")</f>
        <v>326</v>
      </c>
      <c r="B518" s="141" t="s">
        <v>1680</v>
      </c>
      <c r="C518" s="723" t="s">
        <v>1681</v>
      </c>
      <c r="D518" s="726"/>
      <c r="E518" s="733" t="s">
        <v>1683</v>
      </c>
      <c r="F518" s="738">
        <v>7</v>
      </c>
      <c r="G518" s="127">
        <v>0</v>
      </c>
      <c r="H518" s="128">
        <f t="shared" si="148"/>
        <v>7</v>
      </c>
      <c r="I518" s="129" t="s">
        <v>20</v>
      </c>
      <c r="J518" s="729">
        <v>0</v>
      </c>
      <c r="K518" s="734">
        <f t="shared" si="149"/>
        <v>0</v>
      </c>
      <c r="L518" s="722"/>
    </row>
    <row r="519" spans="1:13" ht="31.5" x14ac:dyDescent="0.2">
      <c r="A519" s="714">
        <f>IF(F519&lt;&gt;"",1+MAX($A$1:A518),"")</f>
        <v>327</v>
      </c>
      <c r="B519" s="141" t="s">
        <v>1680</v>
      </c>
      <c r="C519" s="723" t="s">
        <v>1681</v>
      </c>
      <c r="D519" s="726"/>
      <c r="E519" s="733" t="s">
        <v>1684</v>
      </c>
      <c r="F519" s="738">
        <v>1</v>
      </c>
      <c r="G519" s="127">
        <v>0</v>
      </c>
      <c r="H519" s="128">
        <f t="shared" si="148"/>
        <v>1</v>
      </c>
      <c r="I519" s="129" t="s">
        <v>20</v>
      </c>
      <c r="J519" s="729">
        <v>0</v>
      </c>
      <c r="K519" s="734">
        <f t="shared" si="149"/>
        <v>0</v>
      </c>
      <c r="L519" s="722"/>
    </row>
    <row r="520" spans="1:13" ht="31.5" x14ac:dyDescent="0.2">
      <c r="A520" s="714">
        <f>IF(F520&lt;&gt;"",1+MAX($A$1:A519),"")</f>
        <v>328</v>
      </c>
      <c r="B520" s="141" t="s">
        <v>1680</v>
      </c>
      <c r="C520" s="723" t="s">
        <v>1681</v>
      </c>
      <c r="D520" s="726"/>
      <c r="E520" s="733" t="s">
        <v>1685</v>
      </c>
      <c r="F520" s="738">
        <v>1</v>
      </c>
      <c r="G520" s="127">
        <v>0</v>
      </c>
      <c r="H520" s="128">
        <f t="shared" si="148"/>
        <v>1</v>
      </c>
      <c r="I520" s="129" t="s">
        <v>20</v>
      </c>
      <c r="J520" s="729">
        <v>0</v>
      </c>
      <c r="K520" s="734">
        <f t="shared" si="149"/>
        <v>0</v>
      </c>
      <c r="L520" s="722"/>
    </row>
    <row r="521" spans="1:13" ht="31.5" x14ac:dyDescent="0.2">
      <c r="A521" s="714">
        <f>IF(F521&lt;&gt;"",1+MAX($A$1:A520),"")</f>
        <v>329</v>
      </c>
      <c r="B521" s="141" t="s">
        <v>1680</v>
      </c>
      <c r="C521" s="723" t="s">
        <v>1681</v>
      </c>
      <c r="D521" s="726"/>
      <c r="E521" s="733" t="s">
        <v>1686</v>
      </c>
      <c r="F521" s="738">
        <v>1</v>
      </c>
      <c r="G521" s="127">
        <v>0</v>
      </c>
      <c r="H521" s="128">
        <f t="shared" si="148"/>
        <v>1</v>
      </c>
      <c r="I521" s="129" t="s">
        <v>20</v>
      </c>
      <c r="J521" s="729">
        <v>0</v>
      </c>
      <c r="K521" s="734">
        <f t="shared" si="149"/>
        <v>0</v>
      </c>
      <c r="L521" s="722"/>
    </row>
    <row r="522" spans="1:13" ht="31.5" x14ac:dyDescent="0.2">
      <c r="A522" s="714">
        <f>IF(F522&lt;&gt;"",1+MAX($A$1:A521),"")</f>
        <v>330</v>
      </c>
      <c r="B522" s="141" t="s">
        <v>1680</v>
      </c>
      <c r="C522" s="723" t="s">
        <v>1681</v>
      </c>
      <c r="D522" s="726"/>
      <c r="E522" s="733" t="s">
        <v>1687</v>
      </c>
      <c r="F522" s="738">
        <v>4</v>
      </c>
      <c r="G522" s="127">
        <v>0</v>
      </c>
      <c r="H522" s="128">
        <f t="shared" si="148"/>
        <v>4</v>
      </c>
      <c r="I522" s="129" t="s">
        <v>20</v>
      </c>
      <c r="J522" s="729">
        <v>0</v>
      </c>
      <c r="K522" s="734">
        <f t="shared" si="149"/>
        <v>0</v>
      </c>
      <c r="L522" s="722"/>
    </row>
    <row r="523" spans="1:13" ht="31.5" x14ac:dyDescent="0.2">
      <c r="A523" s="714">
        <f>IF(F523&lt;&gt;"",1+MAX($A$1:A522),"")</f>
        <v>331</v>
      </c>
      <c r="B523" s="141" t="s">
        <v>1680</v>
      </c>
      <c r="C523" s="723" t="s">
        <v>1681</v>
      </c>
      <c r="D523" s="726"/>
      <c r="E523" s="733" t="s">
        <v>1688</v>
      </c>
      <c r="F523" s="738">
        <v>6</v>
      </c>
      <c r="G523" s="127">
        <v>0</v>
      </c>
      <c r="H523" s="128">
        <f t="shared" si="148"/>
        <v>6</v>
      </c>
      <c r="I523" s="129" t="s">
        <v>20</v>
      </c>
      <c r="J523" s="729">
        <v>0</v>
      </c>
      <c r="K523" s="734">
        <f t="shared" si="149"/>
        <v>0</v>
      </c>
      <c r="L523" s="722"/>
    </row>
    <row r="524" spans="1:13" x14ac:dyDescent="0.2">
      <c r="A524" s="714">
        <f>IF(F524&lt;&gt;"",1+MAX($A$1:A523),"")</f>
        <v>332</v>
      </c>
      <c r="B524" s="141" t="s">
        <v>1680</v>
      </c>
      <c r="C524" s="723" t="s">
        <v>1681</v>
      </c>
      <c r="D524" s="726"/>
      <c r="E524" s="733" t="s">
        <v>1689</v>
      </c>
      <c r="F524" s="738">
        <v>2</v>
      </c>
      <c r="G524" s="127">
        <v>0</v>
      </c>
      <c r="H524" s="128">
        <f t="shared" si="148"/>
        <v>2</v>
      </c>
      <c r="I524" s="129" t="s">
        <v>20</v>
      </c>
      <c r="J524" s="729">
        <v>0</v>
      </c>
      <c r="K524" s="734">
        <f t="shared" si="149"/>
        <v>0</v>
      </c>
      <c r="L524" s="722"/>
    </row>
    <row r="525" spans="1:13" s="394" customFormat="1" x14ac:dyDescent="0.2">
      <c r="A525" s="714" t="str">
        <f>IF(F525&lt;&gt;"",1+MAX($A$1:A524),"")</f>
        <v/>
      </c>
      <c r="B525" s="141"/>
      <c r="C525" s="723"/>
      <c r="D525" s="726"/>
      <c r="E525" s="727"/>
      <c r="F525" s="728"/>
      <c r="G525" s="127"/>
      <c r="H525" s="140"/>
      <c r="I525" s="141"/>
      <c r="J525" s="781"/>
      <c r="K525" s="730"/>
      <c r="L525" s="722"/>
    </row>
    <row r="526" spans="1:13" s="394" customFormat="1" x14ac:dyDescent="0.2">
      <c r="A526" s="714" t="str">
        <f>IF(F526&lt;&gt;"",1+MAX($A$1:A525),"")</f>
        <v/>
      </c>
      <c r="B526" s="141"/>
      <c r="C526" s="723"/>
      <c r="D526" s="723"/>
      <c r="E526" s="769" t="s">
        <v>1690</v>
      </c>
      <c r="F526" s="738"/>
      <c r="G526" s="127"/>
      <c r="H526" s="140"/>
      <c r="I526" s="141"/>
      <c r="J526" s="781"/>
      <c r="K526" s="730"/>
      <c r="L526" s="722"/>
      <c r="M526" s="749"/>
    </row>
    <row r="527" spans="1:13" ht="31.5" x14ac:dyDescent="0.2">
      <c r="A527" s="714">
        <f>IF(F527&lt;&gt;"",1+MAX($A$1:A526),"")</f>
        <v>333</v>
      </c>
      <c r="B527" s="141" t="s">
        <v>1680</v>
      </c>
      <c r="C527" s="723" t="s">
        <v>1681</v>
      </c>
      <c r="D527" s="726"/>
      <c r="E527" s="733" t="s">
        <v>1691</v>
      </c>
      <c r="F527" s="738">
        <v>25</v>
      </c>
      <c r="G527" s="127">
        <v>0</v>
      </c>
      <c r="H527" s="128">
        <f t="shared" ref="H527:H540" si="150">F527*(1+G527)</f>
        <v>25</v>
      </c>
      <c r="I527" s="129" t="s">
        <v>20</v>
      </c>
      <c r="J527" s="729">
        <v>0</v>
      </c>
      <c r="K527" s="734">
        <f t="shared" ref="K527:K540" si="151">J527*H527</f>
        <v>0</v>
      </c>
      <c r="L527" s="722"/>
    </row>
    <row r="528" spans="1:13" ht="31.5" x14ac:dyDescent="0.2">
      <c r="A528" s="714">
        <f>IF(F528&lt;&gt;"",1+MAX($A$1:A527),"")</f>
        <v>334</v>
      </c>
      <c r="B528" s="141" t="s">
        <v>1680</v>
      </c>
      <c r="C528" s="723" t="s">
        <v>1681</v>
      </c>
      <c r="D528" s="726"/>
      <c r="E528" s="733" t="s">
        <v>1692</v>
      </c>
      <c r="F528" s="738">
        <v>14</v>
      </c>
      <c r="G528" s="127">
        <v>0</v>
      </c>
      <c r="H528" s="128">
        <f t="shared" si="150"/>
        <v>14</v>
      </c>
      <c r="I528" s="129" t="s">
        <v>20</v>
      </c>
      <c r="J528" s="729">
        <v>0</v>
      </c>
      <c r="K528" s="734">
        <f t="shared" si="151"/>
        <v>0</v>
      </c>
      <c r="L528" s="722"/>
    </row>
    <row r="529" spans="1:13" ht="31.5" x14ac:dyDescent="0.2">
      <c r="A529" s="714">
        <f>IF(F529&lt;&gt;"",1+MAX($A$1:A528),"")</f>
        <v>335</v>
      </c>
      <c r="B529" s="141" t="s">
        <v>1680</v>
      </c>
      <c r="C529" s="723" t="s">
        <v>1681</v>
      </c>
      <c r="D529" s="726"/>
      <c r="E529" s="733" t="s">
        <v>1693</v>
      </c>
      <c r="F529" s="738">
        <v>22</v>
      </c>
      <c r="G529" s="127">
        <v>0</v>
      </c>
      <c r="H529" s="128">
        <f t="shared" si="150"/>
        <v>22</v>
      </c>
      <c r="I529" s="129" t="s">
        <v>20</v>
      </c>
      <c r="J529" s="729">
        <v>0</v>
      </c>
      <c r="K529" s="734">
        <f t="shared" si="151"/>
        <v>0</v>
      </c>
      <c r="L529" s="722"/>
    </row>
    <row r="530" spans="1:13" ht="31.5" x14ac:dyDescent="0.2">
      <c r="A530" s="714">
        <f>IF(F530&lt;&gt;"",1+MAX($A$1:A529),"")</f>
        <v>336</v>
      </c>
      <c r="B530" s="141" t="s">
        <v>1680</v>
      </c>
      <c r="C530" s="723" t="s">
        <v>1681</v>
      </c>
      <c r="D530" s="726"/>
      <c r="E530" s="733" t="s">
        <v>1694</v>
      </c>
      <c r="F530" s="738">
        <v>18</v>
      </c>
      <c r="G530" s="127">
        <v>0</v>
      </c>
      <c r="H530" s="128">
        <f t="shared" si="150"/>
        <v>18</v>
      </c>
      <c r="I530" s="129" t="s">
        <v>20</v>
      </c>
      <c r="J530" s="729">
        <v>0</v>
      </c>
      <c r="K530" s="734">
        <f t="shared" si="151"/>
        <v>0</v>
      </c>
      <c r="L530" s="722"/>
    </row>
    <row r="531" spans="1:13" ht="31.5" x14ac:dyDescent="0.2">
      <c r="A531" s="714">
        <f>IF(F531&lt;&gt;"",1+MAX($A$1:A530),"")</f>
        <v>337</v>
      </c>
      <c r="B531" s="141" t="s">
        <v>1680</v>
      </c>
      <c r="C531" s="723" t="s">
        <v>1681</v>
      </c>
      <c r="D531" s="726"/>
      <c r="E531" s="733" t="s">
        <v>1695</v>
      </c>
      <c r="F531" s="738">
        <v>11</v>
      </c>
      <c r="G531" s="127">
        <v>0</v>
      </c>
      <c r="H531" s="128">
        <f t="shared" si="150"/>
        <v>11</v>
      </c>
      <c r="I531" s="129" t="s">
        <v>20</v>
      </c>
      <c r="J531" s="729">
        <v>0</v>
      </c>
      <c r="K531" s="734">
        <f t="shared" si="151"/>
        <v>0</v>
      </c>
      <c r="L531" s="722"/>
    </row>
    <row r="532" spans="1:13" ht="31.5" x14ac:dyDescent="0.2">
      <c r="A532" s="714">
        <f>IF(F532&lt;&gt;"",1+MAX($A$1:A531),"")</f>
        <v>338</v>
      </c>
      <c r="B532" s="141" t="s">
        <v>1680</v>
      </c>
      <c r="C532" s="723" t="s">
        <v>1681</v>
      </c>
      <c r="D532" s="726"/>
      <c r="E532" s="733" t="s">
        <v>1696</v>
      </c>
      <c r="F532" s="738">
        <v>24</v>
      </c>
      <c r="G532" s="127">
        <v>0</v>
      </c>
      <c r="H532" s="128">
        <f t="shared" si="150"/>
        <v>24</v>
      </c>
      <c r="I532" s="129" t="s">
        <v>20</v>
      </c>
      <c r="J532" s="729">
        <v>0</v>
      </c>
      <c r="K532" s="734">
        <f t="shared" si="151"/>
        <v>0</v>
      </c>
      <c r="L532" s="722"/>
    </row>
    <row r="533" spans="1:13" ht="31.5" x14ac:dyDescent="0.2">
      <c r="A533" s="714">
        <f>IF(F533&lt;&gt;"",1+MAX($A$1:A532),"")</f>
        <v>339</v>
      </c>
      <c r="B533" s="141" t="s">
        <v>1680</v>
      </c>
      <c r="C533" s="723" t="s">
        <v>1681</v>
      </c>
      <c r="D533" s="726"/>
      <c r="E533" s="733" t="s">
        <v>1697</v>
      </c>
      <c r="F533" s="738">
        <v>7</v>
      </c>
      <c r="G533" s="127">
        <v>0</v>
      </c>
      <c r="H533" s="128">
        <f t="shared" si="150"/>
        <v>7</v>
      </c>
      <c r="I533" s="129" t="s">
        <v>20</v>
      </c>
      <c r="J533" s="729">
        <v>0</v>
      </c>
      <c r="K533" s="734">
        <f t="shared" si="151"/>
        <v>0</v>
      </c>
      <c r="L533" s="722"/>
    </row>
    <row r="534" spans="1:13" ht="31.5" x14ac:dyDescent="0.2">
      <c r="A534" s="714">
        <f>IF(F534&lt;&gt;"",1+MAX($A$1:A533),"")</f>
        <v>340</v>
      </c>
      <c r="B534" s="141" t="s">
        <v>1680</v>
      </c>
      <c r="C534" s="723" t="s">
        <v>1681</v>
      </c>
      <c r="D534" s="726"/>
      <c r="E534" s="733" t="s">
        <v>1698</v>
      </c>
      <c r="F534" s="738">
        <v>31</v>
      </c>
      <c r="G534" s="127">
        <v>0</v>
      </c>
      <c r="H534" s="128">
        <f t="shared" si="150"/>
        <v>31</v>
      </c>
      <c r="I534" s="129" t="s">
        <v>20</v>
      </c>
      <c r="J534" s="729">
        <v>0</v>
      </c>
      <c r="K534" s="734">
        <f t="shared" si="151"/>
        <v>0</v>
      </c>
      <c r="L534" s="722"/>
    </row>
    <row r="535" spans="1:13" ht="31.5" x14ac:dyDescent="0.2">
      <c r="A535" s="714">
        <f>IF(F535&lt;&gt;"",1+MAX($A$1:A534),"")</f>
        <v>341</v>
      </c>
      <c r="B535" s="141" t="s">
        <v>1680</v>
      </c>
      <c r="C535" s="723" t="s">
        <v>1681</v>
      </c>
      <c r="D535" s="726"/>
      <c r="E535" s="733" t="s">
        <v>1699</v>
      </c>
      <c r="F535" s="738">
        <v>85</v>
      </c>
      <c r="G535" s="127">
        <v>0</v>
      </c>
      <c r="H535" s="128">
        <f t="shared" si="150"/>
        <v>85</v>
      </c>
      <c r="I535" s="129" t="s">
        <v>20</v>
      </c>
      <c r="J535" s="729">
        <v>0</v>
      </c>
      <c r="K535" s="734">
        <f t="shared" si="151"/>
        <v>0</v>
      </c>
      <c r="L535" s="722"/>
    </row>
    <row r="536" spans="1:13" ht="31.5" x14ac:dyDescent="0.2">
      <c r="A536" s="714">
        <f>IF(F536&lt;&gt;"",1+MAX($A$1:A535),"")</f>
        <v>342</v>
      </c>
      <c r="B536" s="141" t="s">
        <v>1680</v>
      </c>
      <c r="C536" s="723" t="s">
        <v>1681</v>
      </c>
      <c r="D536" s="726"/>
      <c r="E536" s="733" t="s">
        <v>1700</v>
      </c>
      <c r="F536" s="738">
        <v>3</v>
      </c>
      <c r="G536" s="127">
        <v>0</v>
      </c>
      <c r="H536" s="128">
        <f t="shared" si="150"/>
        <v>3</v>
      </c>
      <c r="I536" s="129" t="s">
        <v>20</v>
      </c>
      <c r="J536" s="729">
        <v>0</v>
      </c>
      <c r="K536" s="734">
        <f t="shared" si="151"/>
        <v>0</v>
      </c>
      <c r="L536" s="722"/>
    </row>
    <row r="537" spans="1:13" ht="31.5" x14ac:dyDescent="0.2">
      <c r="A537" s="714">
        <f>IF(F537&lt;&gt;"",1+MAX($A$1:A536),"")</f>
        <v>343</v>
      </c>
      <c r="B537" s="141" t="s">
        <v>1680</v>
      </c>
      <c r="C537" s="723" t="s">
        <v>1681</v>
      </c>
      <c r="D537" s="726"/>
      <c r="E537" s="733" t="s">
        <v>1701</v>
      </c>
      <c r="F537" s="738">
        <v>31</v>
      </c>
      <c r="G537" s="127">
        <v>0</v>
      </c>
      <c r="H537" s="128">
        <f t="shared" si="150"/>
        <v>31</v>
      </c>
      <c r="I537" s="129" t="s">
        <v>20</v>
      </c>
      <c r="J537" s="729">
        <v>0</v>
      </c>
      <c r="K537" s="734">
        <f t="shared" si="151"/>
        <v>0</v>
      </c>
      <c r="L537" s="722"/>
    </row>
    <row r="538" spans="1:13" ht="31.5" x14ac:dyDescent="0.2">
      <c r="A538" s="714">
        <f>IF(F538&lt;&gt;"",1+MAX($A$1:A537),"")</f>
        <v>344</v>
      </c>
      <c r="B538" s="141" t="s">
        <v>1680</v>
      </c>
      <c r="C538" s="723" t="s">
        <v>1681</v>
      </c>
      <c r="D538" s="726"/>
      <c r="E538" s="733" t="s">
        <v>1702</v>
      </c>
      <c r="F538" s="738">
        <v>23</v>
      </c>
      <c r="G538" s="127">
        <v>0</v>
      </c>
      <c r="H538" s="128">
        <f t="shared" si="150"/>
        <v>23</v>
      </c>
      <c r="I538" s="129" t="s">
        <v>20</v>
      </c>
      <c r="J538" s="729">
        <v>0</v>
      </c>
      <c r="K538" s="734">
        <f t="shared" si="151"/>
        <v>0</v>
      </c>
      <c r="L538" s="722"/>
    </row>
    <row r="539" spans="1:13" ht="31.5" x14ac:dyDescent="0.2">
      <c r="A539" s="714">
        <f>IF(F539&lt;&gt;"",1+MAX($A$1:A538),"")</f>
        <v>345</v>
      </c>
      <c r="B539" s="141" t="s">
        <v>1680</v>
      </c>
      <c r="C539" s="723" t="s">
        <v>1681</v>
      </c>
      <c r="D539" s="726"/>
      <c r="E539" s="733" t="s">
        <v>1703</v>
      </c>
      <c r="F539" s="738">
        <v>3</v>
      </c>
      <c r="G539" s="127">
        <v>0</v>
      </c>
      <c r="H539" s="128">
        <f t="shared" si="150"/>
        <v>3</v>
      </c>
      <c r="I539" s="129" t="s">
        <v>20</v>
      </c>
      <c r="J539" s="729">
        <v>0</v>
      </c>
      <c r="K539" s="734">
        <f t="shared" si="151"/>
        <v>0</v>
      </c>
      <c r="L539" s="722"/>
    </row>
    <row r="540" spans="1:13" ht="31.5" x14ac:dyDescent="0.2">
      <c r="A540" s="714">
        <f>IF(F540&lt;&gt;"",1+MAX($A$1:A539),"")</f>
        <v>346</v>
      </c>
      <c r="B540" s="141" t="s">
        <v>1680</v>
      </c>
      <c r="C540" s="723" t="s">
        <v>1681</v>
      </c>
      <c r="D540" s="726"/>
      <c r="E540" s="733" t="s">
        <v>1704</v>
      </c>
      <c r="F540" s="738">
        <v>73</v>
      </c>
      <c r="G540" s="127">
        <v>0</v>
      </c>
      <c r="H540" s="128">
        <f t="shared" si="150"/>
        <v>73</v>
      </c>
      <c r="I540" s="129" t="s">
        <v>20</v>
      </c>
      <c r="J540" s="729">
        <v>0</v>
      </c>
      <c r="K540" s="734">
        <f t="shared" si="151"/>
        <v>0</v>
      </c>
      <c r="L540" s="722"/>
    </row>
    <row r="541" spans="1:13" s="394" customFormat="1" x14ac:dyDescent="0.2">
      <c r="A541" s="714" t="str">
        <f>IF(F541&lt;&gt;"",1+MAX($A$1:A540),"")</f>
        <v/>
      </c>
      <c r="B541" s="141"/>
      <c r="C541" s="723"/>
      <c r="D541" s="726"/>
      <c r="E541" s="727"/>
      <c r="F541" s="728"/>
      <c r="G541" s="127"/>
      <c r="H541" s="140"/>
      <c r="I541" s="141"/>
      <c r="J541" s="781"/>
      <c r="K541" s="730"/>
      <c r="L541" s="722"/>
    </row>
    <row r="542" spans="1:13" s="394" customFormat="1" x14ac:dyDescent="0.2">
      <c r="A542" s="714" t="str">
        <f>IF(F542&lt;&gt;"",1+MAX($A$1:A541),"")</f>
        <v/>
      </c>
      <c r="B542" s="141"/>
      <c r="C542" s="723"/>
      <c r="D542" s="723"/>
      <c r="E542" s="769" t="s">
        <v>1705</v>
      </c>
      <c r="F542" s="738"/>
      <c r="G542" s="127"/>
      <c r="H542" s="140"/>
      <c r="I542" s="141"/>
      <c r="J542" s="781"/>
      <c r="K542" s="730"/>
      <c r="L542" s="722"/>
      <c r="M542" s="749"/>
    </row>
    <row r="543" spans="1:13" ht="31.5" x14ac:dyDescent="0.2">
      <c r="A543" s="714">
        <f>IF(F543&lt;&gt;"",1+MAX($A$1:A542),"")</f>
        <v>347</v>
      </c>
      <c r="B543" s="141" t="s">
        <v>1680</v>
      </c>
      <c r="C543" s="723" t="s">
        <v>1681</v>
      </c>
      <c r="D543" s="726"/>
      <c r="E543" s="733" t="s">
        <v>1706</v>
      </c>
      <c r="F543" s="738">
        <v>48</v>
      </c>
      <c r="G543" s="127">
        <v>0</v>
      </c>
      <c r="H543" s="128">
        <f t="shared" ref="H543:H552" si="152">F543*(1+G543)</f>
        <v>48</v>
      </c>
      <c r="I543" s="129" t="s">
        <v>20</v>
      </c>
      <c r="J543" s="729">
        <v>0</v>
      </c>
      <c r="K543" s="734">
        <f t="shared" ref="K543:K552" si="153">J543*H543</f>
        <v>0</v>
      </c>
      <c r="L543" s="722"/>
    </row>
    <row r="544" spans="1:13" ht="31.5" x14ac:dyDescent="0.2">
      <c r="A544" s="714">
        <f>IF(F544&lt;&gt;"",1+MAX($A$1:A543),"")</f>
        <v>348</v>
      </c>
      <c r="B544" s="141" t="s">
        <v>1680</v>
      </c>
      <c r="C544" s="723" t="s">
        <v>1681</v>
      </c>
      <c r="D544" s="726"/>
      <c r="E544" s="733" t="s">
        <v>1707</v>
      </c>
      <c r="F544" s="738">
        <v>13</v>
      </c>
      <c r="G544" s="127">
        <v>0</v>
      </c>
      <c r="H544" s="128">
        <f t="shared" si="152"/>
        <v>13</v>
      </c>
      <c r="I544" s="129" t="s">
        <v>20</v>
      </c>
      <c r="J544" s="729">
        <v>0</v>
      </c>
      <c r="K544" s="734">
        <f t="shared" si="153"/>
        <v>0</v>
      </c>
      <c r="L544" s="722"/>
    </row>
    <row r="545" spans="1:13" ht="31.5" x14ac:dyDescent="0.2">
      <c r="A545" s="714">
        <f>IF(F545&lt;&gt;"",1+MAX($A$1:A544),"")</f>
        <v>349</v>
      </c>
      <c r="B545" s="141" t="s">
        <v>1680</v>
      </c>
      <c r="C545" s="723" t="s">
        <v>1681</v>
      </c>
      <c r="D545" s="726"/>
      <c r="E545" s="733" t="s">
        <v>1708</v>
      </c>
      <c r="F545" s="738">
        <v>11</v>
      </c>
      <c r="G545" s="127">
        <v>0</v>
      </c>
      <c r="H545" s="128">
        <f t="shared" si="152"/>
        <v>11</v>
      </c>
      <c r="I545" s="129" t="s">
        <v>20</v>
      </c>
      <c r="J545" s="729">
        <v>0</v>
      </c>
      <c r="K545" s="734">
        <f t="shared" si="153"/>
        <v>0</v>
      </c>
      <c r="L545" s="722"/>
    </row>
    <row r="546" spans="1:13" ht="31.5" x14ac:dyDescent="0.2">
      <c r="A546" s="714">
        <f>IF(F546&lt;&gt;"",1+MAX($A$1:A545),"")</f>
        <v>350</v>
      </c>
      <c r="B546" s="141" t="s">
        <v>1680</v>
      </c>
      <c r="C546" s="723" t="s">
        <v>1681</v>
      </c>
      <c r="D546" s="726"/>
      <c r="E546" s="733" t="s">
        <v>1709</v>
      </c>
      <c r="F546" s="738">
        <v>6</v>
      </c>
      <c r="G546" s="127">
        <v>0</v>
      </c>
      <c r="H546" s="128">
        <f t="shared" si="152"/>
        <v>6</v>
      </c>
      <c r="I546" s="129" t="s">
        <v>20</v>
      </c>
      <c r="J546" s="729">
        <v>0</v>
      </c>
      <c r="K546" s="734">
        <f t="shared" si="153"/>
        <v>0</v>
      </c>
      <c r="L546" s="722"/>
    </row>
    <row r="547" spans="1:13" ht="31.5" x14ac:dyDescent="0.2">
      <c r="A547" s="714">
        <f>IF(F547&lt;&gt;"",1+MAX($A$1:A546),"")</f>
        <v>351</v>
      </c>
      <c r="B547" s="141" t="s">
        <v>1680</v>
      </c>
      <c r="C547" s="723" t="s">
        <v>1681</v>
      </c>
      <c r="D547" s="726"/>
      <c r="E547" s="733" t="s">
        <v>1710</v>
      </c>
      <c r="F547" s="738">
        <v>6</v>
      </c>
      <c r="G547" s="127">
        <v>0</v>
      </c>
      <c r="H547" s="128">
        <f t="shared" si="152"/>
        <v>6</v>
      </c>
      <c r="I547" s="129" t="s">
        <v>20</v>
      </c>
      <c r="J547" s="729">
        <v>0</v>
      </c>
      <c r="K547" s="734">
        <f t="shared" si="153"/>
        <v>0</v>
      </c>
      <c r="L547" s="722"/>
    </row>
    <row r="548" spans="1:13" ht="31.5" x14ac:dyDescent="0.2">
      <c r="A548" s="714">
        <f>IF(F548&lt;&gt;"",1+MAX($A$1:A547),"")</f>
        <v>352</v>
      </c>
      <c r="B548" s="141" t="s">
        <v>1680</v>
      </c>
      <c r="C548" s="723" t="s">
        <v>1681</v>
      </c>
      <c r="D548" s="726"/>
      <c r="E548" s="733" t="s">
        <v>1711</v>
      </c>
      <c r="F548" s="738">
        <v>4</v>
      </c>
      <c r="G548" s="127">
        <v>0</v>
      </c>
      <c r="H548" s="128">
        <f t="shared" si="152"/>
        <v>4</v>
      </c>
      <c r="I548" s="129" t="s">
        <v>20</v>
      </c>
      <c r="J548" s="729">
        <v>0</v>
      </c>
      <c r="K548" s="734">
        <f t="shared" si="153"/>
        <v>0</v>
      </c>
      <c r="L548" s="722"/>
    </row>
    <row r="549" spans="1:13" ht="31.5" x14ac:dyDescent="0.2">
      <c r="A549" s="714">
        <f>IF(F549&lt;&gt;"",1+MAX($A$1:A548),"")</f>
        <v>353</v>
      </c>
      <c r="B549" s="141" t="s">
        <v>1680</v>
      </c>
      <c r="C549" s="723" t="s">
        <v>1681</v>
      </c>
      <c r="D549" s="726"/>
      <c r="E549" s="733" t="s">
        <v>1712</v>
      </c>
      <c r="F549" s="738">
        <v>10</v>
      </c>
      <c r="G549" s="127">
        <v>0</v>
      </c>
      <c r="H549" s="128">
        <f t="shared" si="152"/>
        <v>10</v>
      </c>
      <c r="I549" s="129" t="s">
        <v>20</v>
      </c>
      <c r="J549" s="729">
        <v>0</v>
      </c>
      <c r="K549" s="734">
        <f t="shared" si="153"/>
        <v>0</v>
      </c>
      <c r="L549" s="722"/>
    </row>
    <row r="550" spans="1:13" ht="31.5" x14ac:dyDescent="0.2">
      <c r="A550" s="714">
        <f>IF(F550&lt;&gt;"",1+MAX($A$1:A549),"")</f>
        <v>354</v>
      </c>
      <c r="B550" s="141" t="s">
        <v>1680</v>
      </c>
      <c r="C550" s="723" t="s">
        <v>1681</v>
      </c>
      <c r="D550" s="726"/>
      <c r="E550" s="733" t="s">
        <v>1713</v>
      </c>
      <c r="F550" s="738">
        <v>92</v>
      </c>
      <c r="G550" s="127">
        <v>0</v>
      </c>
      <c r="H550" s="128">
        <f t="shared" si="152"/>
        <v>92</v>
      </c>
      <c r="I550" s="129" t="s">
        <v>20</v>
      </c>
      <c r="J550" s="729">
        <v>0</v>
      </c>
      <c r="K550" s="734">
        <f t="shared" si="153"/>
        <v>0</v>
      </c>
      <c r="L550" s="722"/>
    </row>
    <row r="551" spans="1:13" ht="31.5" x14ac:dyDescent="0.2">
      <c r="A551" s="714">
        <f>IF(F551&lt;&gt;"",1+MAX($A$1:A550),"")</f>
        <v>355</v>
      </c>
      <c r="B551" s="141" t="s">
        <v>1680</v>
      </c>
      <c r="C551" s="723" t="s">
        <v>1681</v>
      </c>
      <c r="D551" s="726"/>
      <c r="E551" s="733" t="s">
        <v>1714</v>
      </c>
      <c r="F551" s="738">
        <v>84</v>
      </c>
      <c r="G551" s="127">
        <v>0</v>
      </c>
      <c r="H551" s="128">
        <f t="shared" si="152"/>
        <v>84</v>
      </c>
      <c r="I551" s="129" t="s">
        <v>20</v>
      </c>
      <c r="J551" s="729">
        <v>0</v>
      </c>
      <c r="K551" s="734">
        <f t="shared" si="153"/>
        <v>0</v>
      </c>
      <c r="L551" s="722"/>
    </row>
    <row r="552" spans="1:13" ht="31.5" x14ac:dyDescent="0.2">
      <c r="A552" s="714">
        <f>IF(F552&lt;&gt;"",1+MAX($A$1:A551),"")</f>
        <v>356</v>
      </c>
      <c r="B552" s="141" t="s">
        <v>1680</v>
      </c>
      <c r="C552" s="723" t="s">
        <v>1681</v>
      </c>
      <c r="D552" s="726"/>
      <c r="E552" s="733" t="s">
        <v>1715</v>
      </c>
      <c r="F552" s="738">
        <v>50</v>
      </c>
      <c r="G552" s="127">
        <v>0</v>
      </c>
      <c r="H552" s="128">
        <f t="shared" si="152"/>
        <v>50</v>
      </c>
      <c r="I552" s="129" t="s">
        <v>20</v>
      </c>
      <c r="J552" s="729">
        <v>0</v>
      </c>
      <c r="K552" s="734">
        <f t="shared" si="153"/>
        <v>0</v>
      </c>
      <c r="L552" s="722"/>
    </row>
    <row r="553" spans="1:13" s="394" customFormat="1" x14ac:dyDescent="0.2">
      <c r="A553" s="714" t="str">
        <f>IF(F553&lt;&gt;"",1+MAX($A$1:A552),"")</f>
        <v/>
      </c>
      <c r="B553" s="141"/>
      <c r="C553" s="723"/>
      <c r="D553" s="726"/>
      <c r="E553" s="727"/>
      <c r="F553" s="728"/>
      <c r="G553" s="127"/>
      <c r="H553" s="140"/>
      <c r="I553" s="141"/>
      <c r="J553" s="781"/>
      <c r="K553" s="730"/>
      <c r="L553" s="722"/>
    </row>
    <row r="554" spans="1:13" s="394" customFormat="1" x14ac:dyDescent="0.2">
      <c r="A554" s="714" t="str">
        <f>IF(F554&lt;&gt;"",1+MAX($A$1:A553),"")</f>
        <v/>
      </c>
      <c r="B554" s="141"/>
      <c r="C554" s="723"/>
      <c r="D554" s="723"/>
      <c r="E554" s="769" t="s">
        <v>1716</v>
      </c>
      <c r="F554" s="738"/>
      <c r="G554" s="127"/>
      <c r="H554" s="140"/>
      <c r="I554" s="141"/>
      <c r="J554" s="781"/>
      <c r="K554" s="730"/>
      <c r="L554" s="722"/>
      <c r="M554" s="749"/>
    </row>
    <row r="555" spans="1:13" ht="31.5" x14ac:dyDescent="0.2">
      <c r="A555" s="714">
        <f>IF(F555&lt;&gt;"",1+MAX($A$1:A554),"")</f>
        <v>357</v>
      </c>
      <c r="B555" s="141" t="s">
        <v>1680</v>
      </c>
      <c r="C555" s="723" t="s">
        <v>1681</v>
      </c>
      <c r="D555" s="726"/>
      <c r="E555" s="733" t="s">
        <v>1717</v>
      </c>
      <c r="F555" s="738">
        <v>7</v>
      </c>
      <c r="G555" s="127">
        <v>0</v>
      </c>
      <c r="H555" s="128">
        <f>F555*(1+G555)</f>
        <v>7</v>
      </c>
      <c r="I555" s="129" t="s">
        <v>20</v>
      </c>
      <c r="J555" s="729">
        <v>0</v>
      </c>
      <c r="K555" s="734">
        <f>J555*H555</f>
        <v>0</v>
      </c>
      <c r="L555" s="722"/>
    </row>
    <row r="556" spans="1:13" s="394" customFormat="1" x14ac:dyDescent="0.2">
      <c r="A556" s="714" t="str">
        <f>IF(F556&lt;&gt;"",1+MAX($A$1:A555),"")</f>
        <v/>
      </c>
      <c r="B556" s="141"/>
      <c r="C556" s="723"/>
      <c r="D556" s="726"/>
      <c r="E556" s="727"/>
      <c r="F556" s="728"/>
      <c r="G556" s="127"/>
      <c r="H556" s="140"/>
      <c r="I556" s="141"/>
      <c r="J556" s="781"/>
      <c r="K556" s="730"/>
      <c r="L556" s="722"/>
    </row>
    <row r="557" spans="1:13" s="394" customFormat="1" x14ac:dyDescent="0.2">
      <c r="A557" s="714" t="str">
        <f>IF(F557&lt;&gt;"",1+MAX($A$1:A556),"")</f>
        <v/>
      </c>
      <c r="B557" s="141"/>
      <c r="C557" s="723"/>
      <c r="D557" s="723"/>
      <c r="E557" s="769" t="s">
        <v>1718</v>
      </c>
      <c r="F557" s="738"/>
      <c r="G557" s="127"/>
      <c r="H557" s="140"/>
      <c r="I557" s="141"/>
      <c r="J557" s="781"/>
      <c r="K557" s="730"/>
      <c r="L557" s="722"/>
      <c r="M557" s="749"/>
    </row>
    <row r="558" spans="1:13" ht="31.5" x14ac:dyDescent="0.2">
      <c r="A558" s="714">
        <f>IF(F558&lt;&gt;"",1+MAX($A$1:A557),"")</f>
        <v>358</v>
      </c>
      <c r="B558" s="141" t="s">
        <v>1680</v>
      </c>
      <c r="C558" s="723" t="s">
        <v>1681</v>
      </c>
      <c r="D558" s="726"/>
      <c r="E558" s="733" t="s">
        <v>1719</v>
      </c>
      <c r="F558" s="738">
        <v>160</v>
      </c>
      <c r="G558" s="127">
        <v>0</v>
      </c>
      <c r="H558" s="128">
        <f t="shared" ref="H558:H567" si="154">F558*(1+G558)</f>
        <v>160</v>
      </c>
      <c r="I558" s="129" t="s">
        <v>20</v>
      </c>
      <c r="J558" s="729">
        <v>0</v>
      </c>
      <c r="K558" s="734">
        <f t="shared" ref="K558:K567" si="155">J558*H558</f>
        <v>0</v>
      </c>
      <c r="L558" s="722"/>
    </row>
    <row r="559" spans="1:13" ht="31.5" x14ac:dyDescent="0.2">
      <c r="A559" s="714">
        <f>IF(F559&lt;&gt;"",1+MAX($A$1:A558),"")</f>
        <v>359</v>
      </c>
      <c r="B559" s="141" t="s">
        <v>1680</v>
      </c>
      <c r="C559" s="723" t="s">
        <v>1681</v>
      </c>
      <c r="D559" s="726"/>
      <c r="E559" s="733" t="s">
        <v>1720</v>
      </c>
      <c r="F559" s="738">
        <v>120</v>
      </c>
      <c r="G559" s="127">
        <v>0</v>
      </c>
      <c r="H559" s="128">
        <f t="shared" si="154"/>
        <v>120</v>
      </c>
      <c r="I559" s="129" t="s">
        <v>20</v>
      </c>
      <c r="J559" s="729">
        <v>0</v>
      </c>
      <c r="K559" s="734">
        <f t="shared" si="155"/>
        <v>0</v>
      </c>
      <c r="L559" s="722"/>
    </row>
    <row r="560" spans="1:13" ht="31.5" x14ac:dyDescent="0.2">
      <c r="A560" s="714">
        <f>IF(F560&lt;&gt;"",1+MAX($A$1:A559),"")</f>
        <v>360</v>
      </c>
      <c r="B560" s="141" t="s">
        <v>1680</v>
      </c>
      <c r="C560" s="723" t="s">
        <v>1681</v>
      </c>
      <c r="D560" s="726"/>
      <c r="E560" s="733" t="s">
        <v>1721</v>
      </c>
      <c r="F560" s="738">
        <v>13</v>
      </c>
      <c r="G560" s="127">
        <v>0</v>
      </c>
      <c r="H560" s="128">
        <f t="shared" si="154"/>
        <v>13</v>
      </c>
      <c r="I560" s="129" t="s">
        <v>20</v>
      </c>
      <c r="J560" s="729">
        <v>0</v>
      </c>
      <c r="K560" s="734">
        <f t="shared" si="155"/>
        <v>0</v>
      </c>
      <c r="L560" s="722"/>
    </row>
    <row r="561" spans="1:13" ht="31.5" x14ac:dyDescent="0.2">
      <c r="A561" s="714">
        <f>IF(F561&lt;&gt;"",1+MAX($A$1:A560),"")</f>
        <v>361</v>
      </c>
      <c r="B561" s="141" t="s">
        <v>1680</v>
      </c>
      <c r="C561" s="723" t="s">
        <v>1681</v>
      </c>
      <c r="D561" s="726"/>
      <c r="E561" s="733" t="s">
        <v>1722</v>
      </c>
      <c r="F561" s="738">
        <v>48</v>
      </c>
      <c r="G561" s="127">
        <v>0</v>
      </c>
      <c r="H561" s="128">
        <f t="shared" si="154"/>
        <v>48</v>
      </c>
      <c r="I561" s="129" t="s">
        <v>20</v>
      </c>
      <c r="J561" s="729">
        <v>0</v>
      </c>
      <c r="K561" s="734">
        <f t="shared" si="155"/>
        <v>0</v>
      </c>
      <c r="L561" s="722"/>
    </row>
    <row r="562" spans="1:13" ht="31.5" x14ac:dyDescent="0.2">
      <c r="A562" s="714">
        <f>IF(F562&lt;&gt;"",1+MAX($A$1:A561),"")</f>
        <v>362</v>
      </c>
      <c r="B562" s="141" t="s">
        <v>1680</v>
      </c>
      <c r="C562" s="723" t="s">
        <v>1681</v>
      </c>
      <c r="D562" s="726"/>
      <c r="E562" s="733" t="s">
        <v>1723</v>
      </c>
      <c r="F562" s="738">
        <v>31</v>
      </c>
      <c r="G562" s="127">
        <v>0</v>
      </c>
      <c r="H562" s="128">
        <f t="shared" si="154"/>
        <v>31</v>
      </c>
      <c r="I562" s="129" t="s">
        <v>20</v>
      </c>
      <c r="J562" s="729">
        <v>0</v>
      </c>
      <c r="K562" s="734">
        <f t="shared" si="155"/>
        <v>0</v>
      </c>
      <c r="L562" s="722"/>
    </row>
    <row r="563" spans="1:13" ht="31.5" x14ac:dyDescent="0.2">
      <c r="A563" s="714">
        <f>IF(F563&lt;&gt;"",1+MAX($A$1:A562),"")</f>
        <v>363</v>
      </c>
      <c r="B563" s="141" t="s">
        <v>1680</v>
      </c>
      <c r="C563" s="723" t="s">
        <v>1681</v>
      </c>
      <c r="D563" s="726"/>
      <c r="E563" s="733" t="s">
        <v>1724</v>
      </c>
      <c r="F563" s="738">
        <v>40</v>
      </c>
      <c r="G563" s="127">
        <v>0</v>
      </c>
      <c r="H563" s="128">
        <f t="shared" si="154"/>
        <v>40</v>
      </c>
      <c r="I563" s="129" t="s">
        <v>20</v>
      </c>
      <c r="J563" s="729">
        <v>0</v>
      </c>
      <c r="K563" s="734">
        <f t="shared" si="155"/>
        <v>0</v>
      </c>
      <c r="L563" s="722"/>
    </row>
    <row r="564" spans="1:13" ht="31.5" x14ac:dyDescent="0.2">
      <c r="A564" s="714">
        <f>IF(F564&lt;&gt;"",1+MAX($A$1:A563),"")</f>
        <v>364</v>
      </c>
      <c r="B564" s="141" t="s">
        <v>1680</v>
      </c>
      <c r="C564" s="723" t="s">
        <v>1681</v>
      </c>
      <c r="D564" s="726"/>
      <c r="E564" s="733" t="s">
        <v>1725</v>
      </c>
      <c r="F564" s="738">
        <v>32</v>
      </c>
      <c r="G564" s="127">
        <v>0</v>
      </c>
      <c r="H564" s="128">
        <f t="shared" si="154"/>
        <v>32</v>
      </c>
      <c r="I564" s="129" t="s">
        <v>20</v>
      </c>
      <c r="J564" s="729">
        <v>0</v>
      </c>
      <c r="K564" s="734">
        <f t="shared" si="155"/>
        <v>0</v>
      </c>
      <c r="L564" s="722"/>
    </row>
    <row r="565" spans="1:13" ht="31.5" x14ac:dyDescent="0.2">
      <c r="A565" s="714">
        <f>IF(F565&lt;&gt;"",1+MAX($A$1:A564),"")</f>
        <v>365</v>
      </c>
      <c r="B565" s="141" t="s">
        <v>1680</v>
      </c>
      <c r="C565" s="723" t="s">
        <v>1681</v>
      </c>
      <c r="D565" s="726"/>
      <c r="E565" s="733" t="s">
        <v>1726</v>
      </c>
      <c r="F565" s="738">
        <v>30</v>
      </c>
      <c r="G565" s="127">
        <v>0</v>
      </c>
      <c r="H565" s="128">
        <f t="shared" si="154"/>
        <v>30</v>
      </c>
      <c r="I565" s="129" t="s">
        <v>20</v>
      </c>
      <c r="J565" s="729">
        <v>0</v>
      </c>
      <c r="K565" s="734">
        <f t="shared" si="155"/>
        <v>0</v>
      </c>
      <c r="L565" s="722"/>
    </row>
    <row r="566" spans="1:13" ht="31.5" x14ac:dyDescent="0.2">
      <c r="A566" s="714">
        <f>IF(F566&lt;&gt;"",1+MAX($A$1:A565),"")</f>
        <v>366</v>
      </c>
      <c r="B566" s="141" t="s">
        <v>1680</v>
      </c>
      <c r="C566" s="723" t="s">
        <v>1681</v>
      </c>
      <c r="D566" s="726"/>
      <c r="E566" s="733" t="s">
        <v>1727</v>
      </c>
      <c r="F566" s="738">
        <v>11</v>
      </c>
      <c r="G566" s="127">
        <v>0</v>
      </c>
      <c r="H566" s="128">
        <f t="shared" si="154"/>
        <v>11</v>
      </c>
      <c r="I566" s="129" t="s">
        <v>20</v>
      </c>
      <c r="J566" s="729">
        <v>0</v>
      </c>
      <c r="K566" s="734">
        <f t="shared" si="155"/>
        <v>0</v>
      </c>
      <c r="L566" s="722"/>
    </row>
    <row r="567" spans="1:13" ht="31.5" x14ac:dyDescent="0.2">
      <c r="A567" s="714">
        <f>IF(F567&lt;&gt;"",1+MAX($A$1:A566),"")</f>
        <v>367</v>
      </c>
      <c r="B567" s="141" t="s">
        <v>1680</v>
      </c>
      <c r="C567" s="723" t="s">
        <v>1681</v>
      </c>
      <c r="D567" s="726"/>
      <c r="E567" s="733" t="s">
        <v>1728</v>
      </c>
      <c r="F567" s="738">
        <v>79</v>
      </c>
      <c r="G567" s="127">
        <v>0</v>
      </c>
      <c r="H567" s="128">
        <f t="shared" si="154"/>
        <v>79</v>
      </c>
      <c r="I567" s="129" t="s">
        <v>20</v>
      </c>
      <c r="J567" s="729">
        <v>0</v>
      </c>
      <c r="K567" s="734">
        <f t="shared" si="155"/>
        <v>0</v>
      </c>
      <c r="L567" s="722"/>
    </row>
    <row r="568" spans="1:13" s="394" customFormat="1" x14ac:dyDescent="0.2">
      <c r="A568" s="714" t="str">
        <f>IF(F568&lt;&gt;"",1+MAX($A$1:A567),"")</f>
        <v/>
      </c>
      <c r="B568" s="141"/>
      <c r="C568" s="723"/>
      <c r="D568" s="726"/>
      <c r="E568" s="727"/>
      <c r="F568" s="728"/>
      <c r="G568" s="127"/>
      <c r="H568" s="140"/>
      <c r="I568" s="141"/>
      <c r="J568" s="781"/>
      <c r="K568" s="730"/>
      <c r="L568" s="722"/>
    </row>
    <row r="569" spans="1:13" s="394" customFormat="1" x14ac:dyDescent="0.2">
      <c r="A569" s="714" t="str">
        <f>IF(F569&lt;&gt;"",1+MAX($A$1:A568),"")</f>
        <v/>
      </c>
      <c r="B569" s="141"/>
      <c r="C569" s="723"/>
      <c r="D569" s="723"/>
      <c r="E569" s="769" t="s">
        <v>1729</v>
      </c>
      <c r="F569" s="738"/>
      <c r="G569" s="127"/>
      <c r="H569" s="140"/>
      <c r="I569" s="141"/>
      <c r="J569" s="762"/>
      <c r="K569" s="730"/>
      <c r="L569" s="722"/>
      <c r="M569" s="749"/>
    </row>
    <row r="570" spans="1:13" ht="31.5" x14ac:dyDescent="0.2">
      <c r="A570" s="714">
        <f>IF(F570&lt;&gt;"",1+MAX($A$1:A569),"")</f>
        <v>368</v>
      </c>
      <c r="B570" s="141"/>
      <c r="C570" s="723" t="s">
        <v>1730</v>
      </c>
      <c r="D570" s="726"/>
      <c r="E570" s="733" t="s">
        <v>1731</v>
      </c>
      <c r="F570" s="738">
        <f>4853*0.25/27</f>
        <v>44.935185185185183</v>
      </c>
      <c r="G570" s="127">
        <v>0.1</v>
      </c>
      <c r="H570" s="128">
        <f>F570*(1+G570)</f>
        <v>49.428703703703704</v>
      </c>
      <c r="I570" s="129" t="s">
        <v>1028</v>
      </c>
      <c r="J570" s="729">
        <v>0</v>
      </c>
      <c r="K570" s="734">
        <f>J570*H570</f>
        <v>0</v>
      </c>
      <c r="L570" s="722"/>
    </row>
    <row r="571" spans="1:13" s="394" customFormat="1" x14ac:dyDescent="0.2">
      <c r="A571" s="714" t="str">
        <f>IF(F571&lt;&gt;"",1+MAX($A$1:A570),"")</f>
        <v/>
      </c>
      <c r="B571" s="141"/>
      <c r="C571" s="723"/>
      <c r="D571" s="726"/>
      <c r="E571" s="750"/>
      <c r="F571" s="638"/>
      <c r="G571" s="436"/>
      <c r="H571" s="140"/>
      <c r="I571" s="141"/>
      <c r="J571" s="731"/>
      <c r="K571" s="730"/>
      <c r="L571" s="722"/>
      <c r="M571" s="706"/>
    </row>
    <row r="572" spans="1:13" s="394" customFormat="1" x14ac:dyDescent="0.2">
      <c r="A572" s="714" t="str">
        <f>IF(F572&lt;&gt;"",1+MAX($A$1:A571),"")</f>
        <v/>
      </c>
      <c r="B572" s="141"/>
      <c r="C572" s="723"/>
      <c r="D572" s="723"/>
      <c r="E572" s="769" t="s">
        <v>1732</v>
      </c>
      <c r="F572" s="738"/>
      <c r="G572" s="127"/>
      <c r="H572" s="140"/>
      <c r="I572" s="141"/>
      <c r="J572" s="762"/>
      <c r="K572" s="730"/>
      <c r="L572" s="722"/>
      <c r="M572" s="749"/>
    </row>
    <row r="573" spans="1:13" s="394" customFormat="1" x14ac:dyDescent="0.2">
      <c r="A573" s="714">
        <f>IF(F573&lt;&gt;"",1+MAX($A$1:A572),"")</f>
        <v>369</v>
      </c>
      <c r="B573" s="141" t="s">
        <v>1507</v>
      </c>
      <c r="C573" s="123" t="s">
        <v>1733</v>
      </c>
      <c r="D573" s="726"/>
      <c r="E573" s="748" t="s">
        <v>1734</v>
      </c>
      <c r="F573" s="728">
        <v>36</v>
      </c>
      <c r="G573" s="127">
        <v>0</v>
      </c>
      <c r="H573" s="140">
        <f>F573*(1+G573)</f>
        <v>36</v>
      </c>
      <c r="I573" s="141" t="s">
        <v>20</v>
      </c>
      <c r="J573" s="729">
        <v>0</v>
      </c>
      <c r="K573" s="730">
        <f>J573*H573</f>
        <v>0</v>
      </c>
      <c r="L573" s="722"/>
      <c r="M573" s="749"/>
    </row>
    <row r="574" spans="1:13" s="394" customFormat="1" x14ac:dyDescent="0.2">
      <c r="A574" s="714" t="str">
        <f>IF(F574&lt;&gt;"",1+MAX($A$1:A573),"")</f>
        <v/>
      </c>
      <c r="B574" s="141"/>
      <c r="C574" s="723"/>
      <c r="D574" s="726"/>
      <c r="E574" s="750"/>
      <c r="F574" s="638"/>
      <c r="G574" s="436"/>
      <c r="H574" s="140"/>
      <c r="I574" s="141"/>
      <c r="J574" s="731"/>
      <c r="K574" s="730"/>
      <c r="L574" s="722"/>
      <c r="M574" s="706"/>
    </row>
    <row r="575" spans="1:13" s="394" customFormat="1" x14ac:dyDescent="0.2">
      <c r="A575" s="714" t="str">
        <f>IF(F575&lt;&gt;"",1+MAX($A$1:A574),"")</f>
        <v/>
      </c>
      <c r="B575" s="141"/>
      <c r="C575" s="723"/>
      <c r="D575" s="723"/>
      <c r="E575" s="769" t="s">
        <v>1735</v>
      </c>
      <c r="F575" s="738"/>
      <c r="G575" s="127"/>
      <c r="H575" s="140"/>
      <c r="I575" s="141"/>
      <c r="J575" s="762"/>
      <c r="K575" s="730"/>
      <c r="L575" s="722"/>
      <c r="M575" s="749"/>
    </row>
    <row r="576" spans="1:13" s="394" customFormat="1" ht="31.5" x14ac:dyDescent="0.2">
      <c r="A576" s="714">
        <f>IF(F576&lt;&gt;"",1+MAX($A$1:A575),"")</f>
        <v>370</v>
      </c>
      <c r="B576" s="141" t="s">
        <v>1443</v>
      </c>
      <c r="C576" s="123" t="s">
        <v>1736</v>
      </c>
      <c r="D576" s="726"/>
      <c r="E576" s="748" t="s">
        <v>1737</v>
      </c>
      <c r="F576" s="139">
        <v>171.51</v>
      </c>
      <c r="G576" s="127">
        <v>0.1</v>
      </c>
      <c r="H576" s="140">
        <f>F576*(1+G576)</f>
        <v>188.661</v>
      </c>
      <c r="I576" s="141" t="s">
        <v>15</v>
      </c>
      <c r="J576" s="729">
        <v>0</v>
      </c>
      <c r="K576" s="730">
        <f>J576*H576</f>
        <v>0</v>
      </c>
      <c r="L576" s="722"/>
      <c r="M576" s="749"/>
    </row>
    <row r="577" spans="1:13" ht="16.5" thickBot="1" x14ac:dyDescent="0.25">
      <c r="A577" s="714" t="str">
        <f>IF(F577&lt;&gt;"",1+MAX($A$1:A576),"")</f>
        <v/>
      </c>
      <c r="B577" s="141"/>
      <c r="C577" s="723"/>
      <c r="D577" s="726"/>
      <c r="E577" s="753"/>
      <c r="F577" s="126"/>
      <c r="G577" s="436"/>
      <c r="H577" s="128"/>
      <c r="I577" s="129"/>
      <c r="J577" s="740"/>
      <c r="K577" s="734"/>
      <c r="L577" s="722"/>
    </row>
    <row r="578" spans="1:13" ht="16.5" thickBot="1" x14ac:dyDescent="0.25">
      <c r="A578" s="714" t="str">
        <f>IF(F578&lt;&gt;"",1+MAX($A$1:A577),"")</f>
        <v/>
      </c>
      <c r="B578" s="141"/>
      <c r="C578" s="123"/>
      <c r="D578" s="815"/>
      <c r="E578" s="561" t="s">
        <v>1738</v>
      </c>
      <c r="F578" s="537"/>
      <c r="G578" s="718"/>
      <c r="H578" s="719"/>
      <c r="I578" s="720"/>
      <c r="J578" s="721"/>
      <c r="K578" s="811"/>
      <c r="L578" s="722"/>
    </row>
    <row r="579" spans="1:13" s="394" customFormat="1" x14ac:dyDescent="0.2">
      <c r="A579" s="714" t="str">
        <f>IF(F579&lt;&gt;"",1+MAX($A$1:A578),"")</f>
        <v/>
      </c>
      <c r="B579" s="141"/>
      <c r="C579" s="723"/>
      <c r="D579" s="723"/>
      <c r="E579" s="769" t="s">
        <v>1739</v>
      </c>
      <c r="F579" s="738"/>
      <c r="G579" s="127"/>
      <c r="H579" s="140"/>
      <c r="I579" s="141"/>
      <c r="J579" s="762"/>
      <c r="K579" s="730"/>
      <c r="L579" s="722"/>
      <c r="M579" s="749"/>
    </row>
    <row r="580" spans="1:13" x14ac:dyDescent="0.2">
      <c r="A580" s="714">
        <f>IF(F580&lt;&gt;"",1+MAX($A$1:A579),"")</f>
        <v>371</v>
      </c>
      <c r="B580" s="141" t="s">
        <v>1740</v>
      </c>
      <c r="C580" s="723" t="s">
        <v>1741</v>
      </c>
      <c r="D580" s="726"/>
      <c r="E580" s="733" t="s">
        <v>1742</v>
      </c>
      <c r="F580" s="738">
        <v>306.76</v>
      </c>
      <c r="G580" s="127">
        <v>0.1</v>
      </c>
      <c r="H580" s="128">
        <f>F580*(1+G580)</f>
        <v>337.43600000000004</v>
      </c>
      <c r="I580" s="129" t="s">
        <v>15</v>
      </c>
      <c r="J580" s="729">
        <v>0</v>
      </c>
      <c r="K580" s="734">
        <f>J580*H580</f>
        <v>0</v>
      </c>
      <c r="L580" s="722"/>
    </row>
    <row r="581" spans="1:13" s="394" customFormat="1" x14ac:dyDescent="0.2">
      <c r="A581" s="714">
        <f>IF(F581&lt;&gt;"",1+MAX($A$1:A580),"")</f>
        <v>372</v>
      </c>
      <c r="B581" s="141" t="s">
        <v>1740</v>
      </c>
      <c r="C581" s="723" t="s">
        <v>1741</v>
      </c>
      <c r="D581" s="370"/>
      <c r="E581" s="727" t="s">
        <v>1031</v>
      </c>
      <c r="F581" s="728">
        <f>F580*2*3/27</f>
        <v>68.168888888888887</v>
      </c>
      <c r="G581" s="127">
        <v>0.1</v>
      </c>
      <c r="H581" s="128">
        <f t="shared" ref="H581:H583" si="156">F581*(1+G581)</f>
        <v>74.985777777777784</v>
      </c>
      <c r="I581" s="129" t="s">
        <v>1028</v>
      </c>
      <c r="J581" s="740">
        <f>J$274</f>
        <v>0</v>
      </c>
      <c r="K581" s="734">
        <f t="shared" ref="K581:K583" si="157">J581*H581</f>
        <v>0</v>
      </c>
      <c r="L581" s="722"/>
    </row>
    <row r="582" spans="1:13" s="394" customFormat="1" x14ac:dyDescent="0.2">
      <c r="A582" s="714">
        <f>IF(F582&lt;&gt;"",1+MAX($A$1:A581),"")</f>
        <v>373</v>
      </c>
      <c r="B582" s="141" t="s">
        <v>1740</v>
      </c>
      <c r="C582" s="723" t="s">
        <v>1741</v>
      </c>
      <c r="D582" s="362"/>
      <c r="E582" s="727" t="s">
        <v>1743</v>
      </c>
      <c r="F582" s="728">
        <f>F580*2*0.75/27</f>
        <v>17.042222222222222</v>
      </c>
      <c r="G582" s="127">
        <v>0.1</v>
      </c>
      <c r="H582" s="128">
        <f t="shared" si="156"/>
        <v>18.746444444444446</v>
      </c>
      <c r="I582" s="129" t="s">
        <v>1028</v>
      </c>
      <c r="J582" s="740">
        <f>J$441</f>
        <v>0</v>
      </c>
      <c r="K582" s="734">
        <f t="shared" si="157"/>
        <v>0</v>
      </c>
      <c r="L582" s="722"/>
    </row>
    <row r="583" spans="1:13" s="394" customFormat="1" x14ac:dyDescent="0.2">
      <c r="A583" s="714">
        <f>IF(F583&lt;&gt;"",1+MAX($A$1:A582),"")</f>
        <v>374</v>
      </c>
      <c r="B583" s="141" t="s">
        <v>1740</v>
      </c>
      <c r="C583" s="723" t="s">
        <v>1741</v>
      </c>
      <c r="D583" s="370"/>
      <c r="E583" s="727" t="s">
        <v>1032</v>
      </c>
      <c r="F583" s="728">
        <f>F581-F582-(F580*3.14*0.125*0.125*0.25/27)</f>
        <v>50.987310995370372</v>
      </c>
      <c r="G583" s="127">
        <v>0.1</v>
      </c>
      <c r="H583" s="128">
        <f t="shared" si="156"/>
        <v>56.086042094907413</v>
      </c>
      <c r="I583" s="129" t="s">
        <v>1028</v>
      </c>
      <c r="J583" s="740">
        <f>J$275</f>
        <v>0</v>
      </c>
      <c r="K583" s="734">
        <f t="shared" si="157"/>
        <v>0</v>
      </c>
      <c r="L583" s="722"/>
    </row>
    <row r="584" spans="1:13" s="394" customFormat="1" x14ac:dyDescent="0.2">
      <c r="A584" s="714" t="str">
        <f>IF(F584&lt;&gt;"",1+MAX($A$1:A583),"")</f>
        <v/>
      </c>
      <c r="B584" s="141"/>
      <c r="C584" s="723"/>
      <c r="D584" s="726"/>
      <c r="E584" s="727"/>
      <c r="F584" s="728"/>
      <c r="G584" s="127"/>
      <c r="H584" s="140"/>
      <c r="I584" s="141"/>
      <c r="J584" s="781"/>
      <c r="K584" s="730"/>
      <c r="L584" s="722"/>
    </row>
    <row r="585" spans="1:13" x14ac:dyDescent="0.2">
      <c r="A585" s="714">
        <f>IF(F585&lt;&gt;"",1+MAX($A$1:A584),"")</f>
        <v>375</v>
      </c>
      <c r="B585" s="141" t="s">
        <v>1740</v>
      </c>
      <c r="C585" s="723" t="s">
        <v>1741</v>
      </c>
      <c r="D585" s="726"/>
      <c r="E585" s="733" t="s">
        <v>1744</v>
      </c>
      <c r="F585" s="728">
        <v>153.63999999999999</v>
      </c>
      <c r="G585" s="127">
        <v>0.1</v>
      </c>
      <c r="H585" s="128">
        <f>F585*(1+G585)</f>
        <v>169.00399999999999</v>
      </c>
      <c r="I585" s="129" t="s">
        <v>15</v>
      </c>
      <c r="J585" s="729">
        <v>0</v>
      </c>
      <c r="K585" s="734">
        <f>J585*H585</f>
        <v>0</v>
      </c>
      <c r="L585" s="722"/>
    </row>
    <row r="586" spans="1:13" s="394" customFormat="1" x14ac:dyDescent="0.2">
      <c r="A586" s="714">
        <f>IF(F586&lt;&gt;"",1+MAX($A$1:A585),"")</f>
        <v>376</v>
      </c>
      <c r="B586" s="141" t="s">
        <v>1740</v>
      </c>
      <c r="C586" s="723" t="s">
        <v>1741</v>
      </c>
      <c r="D586" s="370"/>
      <c r="E586" s="727" t="s">
        <v>1031</v>
      </c>
      <c r="F586" s="728">
        <f>F585*2*3/27</f>
        <v>34.142222222222216</v>
      </c>
      <c r="G586" s="127">
        <v>0.1</v>
      </c>
      <c r="H586" s="128">
        <f t="shared" ref="H586:H588" si="158">F586*(1+G586)</f>
        <v>37.556444444444438</v>
      </c>
      <c r="I586" s="129" t="s">
        <v>1028</v>
      </c>
      <c r="J586" s="740">
        <f>J$274</f>
        <v>0</v>
      </c>
      <c r="K586" s="734">
        <f t="shared" ref="K586:K588" si="159">J586*H586</f>
        <v>0</v>
      </c>
      <c r="L586" s="722"/>
    </row>
    <row r="587" spans="1:13" s="394" customFormat="1" x14ac:dyDescent="0.2">
      <c r="A587" s="714">
        <f>IF(F587&lt;&gt;"",1+MAX($A$1:A586),"")</f>
        <v>377</v>
      </c>
      <c r="B587" s="141" t="s">
        <v>1740</v>
      </c>
      <c r="C587" s="723" t="s">
        <v>1741</v>
      </c>
      <c r="D587" s="362"/>
      <c r="E587" s="727" t="s">
        <v>1743</v>
      </c>
      <c r="F587" s="728">
        <f>F585*2*0.75/27</f>
        <v>8.535555555555554</v>
      </c>
      <c r="G587" s="127">
        <v>0.1</v>
      </c>
      <c r="H587" s="128">
        <f t="shared" si="158"/>
        <v>9.3891111111111094</v>
      </c>
      <c r="I587" s="129" t="s">
        <v>1028</v>
      </c>
      <c r="J587" s="740">
        <f>J$441</f>
        <v>0</v>
      </c>
      <c r="K587" s="734">
        <f t="shared" si="159"/>
        <v>0</v>
      </c>
      <c r="L587" s="722"/>
    </row>
    <row r="588" spans="1:13" s="394" customFormat="1" x14ac:dyDescent="0.2">
      <c r="A588" s="714">
        <f>IF(F588&lt;&gt;"",1+MAX($A$1:A587),"")</f>
        <v>378</v>
      </c>
      <c r="B588" s="141" t="s">
        <v>1740</v>
      </c>
      <c r="C588" s="723" t="s">
        <v>1741</v>
      </c>
      <c r="D588" s="370"/>
      <c r="E588" s="727" t="s">
        <v>1032</v>
      </c>
      <c r="F588" s="728">
        <f>F586-F587-(F585*3.14*0.104*0.104*0.25/27)</f>
        <v>25.558352235614809</v>
      </c>
      <c r="G588" s="127">
        <v>0.1</v>
      </c>
      <c r="H588" s="128">
        <f t="shared" si="158"/>
        <v>28.114187459176293</v>
      </c>
      <c r="I588" s="129" t="s">
        <v>1028</v>
      </c>
      <c r="J588" s="740">
        <f>J$275</f>
        <v>0</v>
      </c>
      <c r="K588" s="734">
        <f t="shared" si="159"/>
        <v>0</v>
      </c>
      <c r="L588" s="722"/>
    </row>
    <row r="589" spans="1:13" s="394" customFormat="1" x14ac:dyDescent="0.2">
      <c r="A589" s="714" t="str">
        <f>IF(F589&lt;&gt;"",1+MAX($A$1:A588),"")</f>
        <v/>
      </c>
      <c r="B589" s="141"/>
      <c r="C589" s="723"/>
      <c r="D589" s="726"/>
      <c r="E589" s="782"/>
      <c r="F589" s="728"/>
      <c r="G589" s="127"/>
      <c r="H589" s="140"/>
      <c r="I589" s="141"/>
      <c r="J589" s="781"/>
      <c r="K589" s="730"/>
      <c r="L589" s="722"/>
    </row>
    <row r="590" spans="1:13" x14ac:dyDescent="0.2">
      <c r="A590" s="714">
        <f>IF(F590&lt;&gt;"",1+MAX($A$1:A589),"")</f>
        <v>379</v>
      </c>
      <c r="B590" s="141" t="s">
        <v>1740</v>
      </c>
      <c r="C590" s="723" t="s">
        <v>1741</v>
      </c>
      <c r="D590" s="726"/>
      <c r="E590" s="733" t="s">
        <v>1745</v>
      </c>
      <c r="F590" s="738">
        <v>26.15</v>
      </c>
      <c r="G590" s="127">
        <v>0.1</v>
      </c>
      <c r="H590" s="128">
        <f>F590*(1+G590)</f>
        <v>28.765000000000001</v>
      </c>
      <c r="I590" s="129" t="s">
        <v>15</v>
      </c>
      <c r="J590" s="729">
        <v>0</v>
      </c>
      <c r="K590" s="734">
        <f>J590*H590</f>
        <v>0</v>
      </c>
      <c r="L590" s="722"/>
    </row>
    <row r="591" spans="1:13" s="394" customFormat="1" x14ac:dyDescent="0.2">
      <c r="A591" s="714">
        <f>IF(F591&lt;&gt;"",1+MAX($A$1:A590),"")</f>
        <v>380</v>
      </c>
      <c r="B591" s="141" t="s">
        <v>1740</v>
      </c>
      <c r="C591" s="723" t="s">
        <v>1741</v>
      </c>
      <c r="D591" s="370"/>
      <c r="E591" s="727" t="s">
        <v>1031</v>
      </c>
      <c r="F591" s="728">
        <f>F590*2*3/27</f>
        <v>5.81111111111111</v>
      </c>
      <c r="G591" s="127">
        <v>0.1</v>
      </c>
      <c r="H591" s="128">
        <f t="shared" ref="H591:H593" si="160">F591*(1+G591)</f>
        <v>6.3922222222222214</v>
      </c>
      <c r="I591" s="129" t="s">
        <v>1028</v>
      </c>
      <c r="J591" s="740">
        <f>J$274</f>
        <v>0</v>
      </c>
      <c r="K591" s="734">
        <f t="shared" ref="K591:K593" si="161">J591*H591</f>
        <v>0</v>
      </c>
      <c r="L591" s="722"/>
    </row>
    <row r="592" spans="1:13" s="394" customFormat="1" x14ac:dyDescent="0.2">
      <c r="A592" s="714">
        <f>IF(F592&lt;&gt;"",1+MAX($A$1:A591),"")</f>
        <v>381</v>
      </c>
      <c r="B592" s="141" t="s">
        <v>1740</v>
      </c>
      <c r="C592" s="723" t="s">
        <v>1741</v>
      </c>
      <c r="D592" s="362"/>
      <c r="E592" s="727" t="s">
        <v>1743</v>
      </c>
      <c r="F592" s="728">
        <f>F590*2*0.75/27</f>
        <v>1.4527777777777775</v>
      </c>
      <c r="G592" s="127">
        <v>0.1</v>
      </c>
      <c r="H592" s="128">
        <f t="shared" si="160"/>
        <v>1.5980555555555553</v>
      </c>
      <c r="I592" s="129" t="s">
        <v>1028</v>
      </c>
      <c r="J592" s="740">
        <f>J$441</f>
        <v>0</v>
      </c>
      <c r="K592" s="734">
        <f t="shared" si="161"/>
        <v>0</v>
      </c>
      <c r="L592" s="722"/>
    </row>
    <row r="593" spans="1:13" s="394" customFormat="1" x14ac:dyDescent="0.2">
      <c r="A593" s="714">
        <f>IF(F593&lt;&gt;"",1+MAX($A$1:A592),"")</f>
        <v>382</v>
      </c>
      <c r="B593" s="141" t="s">
        <v>1740</v>
      </c>
      <c r="C593" s="723" t="s">
        <v>1741</v>
      </c>
      <c r="D593" s="370"/>
      <c r="E593" s="727" t="s">
        <v>1032</v>
      </c>
      <c r="F593" s="728">
        <f>F591-F592-(F590*3.14*0.084*0.084*0.25/27)</f>
        <v>4.3529687479999994</v>
      </c>
      <c r="G593" s="127">
        <v>0.1</v>
      </c>
      <c r="H593" s="128">
        <f t="shared" si="160"/>
        <v>4.7882656228</v>
      </c>
      <c r="I593" s="129" t="s">
        <v>1028</v>
      </c>
      <c r="J593" s="740">
        <f>J$275</f>
        <v>0</v>
      </c>
      <c r="K593" s="734">
        <f t="shared" si="161"/>
        <v>0</v>
      </c>
      <c r="L593" s="722"/>
    </row>
    <row r="594" spans="1:13" s="394" customFormat="1" x14ac:dyDescent="0.2">
      <c r="A594" s="714" t="str">
        <f>IF(F594&lt;&gt;"",1+MAX($A$1:A593),"")</f>
        <v/>
      </c>
      <c r="B594" s="141"/>
      <c r="C594" s="723"/>
      <c r="D594" s="370"/>
      <c r="E594" s="727"/>
      <c r="F594" s="728"/>
      <c r="G594" s="127"/>
      <c r="H594" s="140"/>
      <c r="I594" s="141"/>
      <c r="J594" s="781"/>
      <c r="K594" s="730"/>
      <c r="L594" s="722"/>
    </row>
    <row r="595" spans="1:13" x14ac:dyDescent="0.2">
      <c r="A595" s="714">
        <f>IF(F595&lt;&gt;"",1+MAX($A$1:A594),"")</f>
        <v>383</v>
      </c>
      <c r="B595" s="141" t="s">
        <v>1740</v>
      </c>
      <c r="C595" s="723" t="s">
        <v>1741</v>
      </c>
      <c r="D595" s="726"/>
      <c r="E595" s="733" t="s">
        <v>1746</v>
      </c>
      <c r="F595" s="738">
        <f>289</f>
        <v>289</v>
      </c>
      <c r="G595" s="127">
        <v>0.1</v>
      </c>
      <c r="H595" s="128">
        <f>F595*(1+G595)</f>
        <v>317.90000000000003</v>
      </c>
      <c r="I595" s="129" t="s">
        <v>15</v>
      </c>
      <c r="J595" s="740">
        <f>J$590</f>
        <v>0</v>
      </c>
      <c r="K595" s="734">
        <f>J595*H595</f>
        <v>0</v>
      </c>
      <c r="L595" s="722"/>
    </row>
    <row r="596" spans="1:13" s="394" customFormat="1" x14ac:dyDescent="0.2">
      <c r="A596" s="714">
        <f>IF(F596&lt;&gt;"",1+MAX($A$1:A595),"")</f>
        <v>384</v>
      </c>
      <c r="B596" s="141" t="s">
        <v>1740</v>
      </c>
      <c r="C596" s="723" t="s">
        <v>1741</v>
      </c>
      <c r="D596" s="370"/>
      <c r="E596" s="727" t="s">
        <v>1031</v>
      </c>
      <c r="F596" s="728">
        <f>F595*2*3/27</f>
        <v>64.222222222222229</v>
      </c>
      <c r="G596" s="127">
        <v>0.1</v>
      </c>
      <c r="H596" s="128">
        <f t="shared" ref="H596:H598" si="162">F596*(1+G596)</f>
        <v>70.64444444444446</v>
      </c>
      <c r="I596" s="129" t="s">
        <v>1028</v>
      </c>
      <c r="J596" s="740">
        <f>J$274</f>
        <v>0</v>
      </c>
      <c r="K596" s="734">
        <f t="shared" ref="K596:K598" si="163">J596*H596</f>
        <v>0</v>
      </c>
      <c r="L596" s="722"/>
    </row>
    <row r="597" spans="1:13" s="394" customFormat="1" x14ac:dyDescent="0.2">
      <c r="A597" s="714">
        <f>IF(F597&lt;&gt;"",1+MAX($A$1:A596),"")</f>
        <v>385</v>
      </c>
      <c r="B597" s="141" t="s">
        <v>1740</v>
      </c>
      <c r="C597" s="723" t="s">
        <v>1741</v>
      </c>
      <c r="D597" s="362"/>
      <c r="E597" s="727" t="s">
        <v>1743</v>
      </c>
      <c r="F597" s="728">
        <f>F595*2*0.75/27</f>
        <v>16.055555555555557</v>
      </c>
      <c r="G597" s="127">
        <v>0.1</v>
      </c>
      <c r="H597" s="128">
        <f t="shared" si="162"/>
        <v>17.661111111111115</v>
      </c>
      <c r="I597" s="129" t="s">
        <v>1028</v>
      </c>
      <c r="J597" s="740">
        <f>J$441</f>
        <v>0</v>
      </c>
      <c r="K597" s="734">
        <f t="shared" si="163"/>
        <v>0</v>
      </c>
      <c r="L597" s="722"/>
    </row>
    <row r="598" spans="1:13" s="394" customFormat="1" x14ac:dyDescent="0.2">
      <c r="A598" s="714">
        <f>IF(F598&lt;&gt;"",1+MAX($A$1:A597),"")</f>
        <v>386</v>
      </c>
      <c r="B598" s="141" t="s">
        <v>1740</v>
      </c>
      <c r="C598" s="723" t="s">
        <v>1741</v>
      </c>
      <c r="D598" s="370"/>
      <c r="E598" s="727" t="s">
        <v>1032</v>
      </c>
      <c r="F598" s="728">
        <f>F596-F597-(F595*3.14*0.084*0.084*0.25/27)</f>
        <v>48.107379280000004</v>
      </c>
      <c r="G598" s="127">
        <v>0.1</v>
      </c>
      <c r="H598" s="128">
        <f t="shared" si="162"/>
        <v>52.918117208000005</v>
      </c>
      <c r="I598" s="129" t="s">
        <v>1028</v>
      </c>
      <c r="J598" s="740">
        <f>J$275</f>
        <v>0</v>
      </c>
      <c r="K598" s="734">
        <f t="shared" si="163"/>
        <v>0</v>
      </c>
      <c r="L598" s="722"/>
    </row>
    <row r="599" spans="1:13" s="394" customFormat="1" x14ac:dyDescent="0.2">
      <c r="A599" s="714" t="str">
        <f>IF(F599&lt;&gt;"",1+MAX($A$1:A598),"")</f>
        <v/>
      </c>
      <c r="B599" s="141"/>
      <c r="C599" s="723"/>
      <c r="D599" s="726"/>
      <c r="E599" s="727"/>
      <c r="F599" s="728"/>
      <c r="G599" s="127"/>
      <c r="H599" s="140"/>
      <c r="I599" s="141"/>
      <c r="J599" s="781"/>
      <c r="K599" s="730"/>
      <c r="L599" s="722"/>
    </row>
    <row r="600" spans="1:13" s="394" customFormat="1" x14ac:dyDescent="0.2">
      <c r="A600" s="714" t="str">
        <f>IF(F600&lt;&gt;"",1+MAX($A$1:A599),"")</f>
        <v/>
      </c>
      <c r="B600" s="141"/>
      <c r="C600" s="723"/>
      <c r="D600" s="723"/>
      <c r="E600" s="769" t="s">
        <v>1747</v>
      </c>
      <c r="F600" s="738"/>
      <c r="G600" s="127"/>
      <c r="H600" s="140"/>
      <c r="I600" s="141"/>
      <c r="J600" s="781"/>
      <c r="K600" s="730"/>
      <c r="L600" s="722"/>
      <c r="M600" s="749"/>
    </row>
    <row r="601" spans="1:13" x14ac:dyDescent="0.2">
      <c r="A601" s="714">
        <f>IF(F601&lt;&gt;"",1+MAX($A$1:A600),"")</f>
        <v>387</v>
      </c>
      <c r="B601" s="141" t="s">
        <v>1748</v>
      </c>
      <c r="C601" s="723"/>
      <c r="D601" s="726"/>
      <c r="E601" s="733" t="s">
        <v>1746</v>
      </c>
      <c r="F601" s="738">
        <v>636.14</v>
      </c>
      <c r="G601" s="127">
        <v>0.1</v>
      </c>
      <c r="H601" s="128">
        <f t="shared" ref="H601:H603" si="164">F601*(1+G601)</f>
        <v>699.75400000000002</v>
      </c>
      <c r="I601" s="129" t="s">
        <v>15</v>
      </c>
      <c r="J601" s="740">
        <f t="shared" ref="J601:J603" si="165">J$590</f>
        <v>0</v>
      </c>
      <c r="K601" s="734">
        <f>J601*H601</f>
        <v>0</v>
      </c>
      <c r="L601" s="722"/>
    </row>
    <row r="602" spans="1:13" ht="31.5" x14ac:dyDescent="0.2">
      <c r="A602" s="714">
        <f>IF(F602&lt;&gt;"",1+MAX($A$1:A601),"")</f>
        <v>388</v>
      </c>
      <c r="B602" s="141" t="s">
        <v>1749</v>
      </c>
      <c r="C602" s="723"/>
      <c r="D602" s="726"/>
      <c r="E602" s="733" t="s">
        <v>1750</v>
      </c>
      <c r="F602" s="738">
        <v>374.26</v>
      </c>
      <c r="G602" s="127">
        <v>0.1</v>
      </c>
      <c r="H602" s="128">
        <f t="shared" si="164"/>
        <v>411.68600000000004</v>
      </c>
      <c r="I602" s="129" t="s">
        <v>15</v>
      </c>
      <c r="J602" s="740">
        <f t="shared" si="165"/>
        <v>0</v>
      </c>
      <c r="K602" s="734">
        <f>J602*H602</f>
        <v>0</v>
      </c>
      <c r="L602" s="722"/>
    </row>
    <row r="603" spans="1:13" ht="31.5" x14ac:dyDescent="0.2">
      <c r="A603" s="714">
        <f>IF(F603&lt;&gt;"",1+MAX($A$1:A602),"")</f>
        <v>389</v>
      </c>
      <c r="B603" s="141" t="s">
        <v>1751</v>
      </c>
      <c r="C603" s="723"/>
      <c r="D603" s="726"/>
      <c r="E603" s="733" t="s">
        <v>1752</v>
      </c>
      <c r="F603" s="738">
        <v>68.209999999999994</v>
      </c>
      <c r="G603" s="127">
        <v>0.1</v>
      </c>
      <c r="H603" s="128">
        <f t="shared" si="164"/>
        <v>75.031000000000006</v>
      </c>
      <c r="I603" s="129" t="s">
        <v>15</v>
      </c>
      <c r="J603" s="740">
        <f t="shared" si="165"/>
        <v>0</v>
      </c>
      <c r="K603" s="734">
        <f>J603*H603</f>
        <v>0</v>
      </c>
      <c r="L603" s="722"/>
    </row>
    <row r="604" spans="1:13" s="394" customFormat="1" x14ac:dyDescent="0.2">
      <c r="A604" s="714" t="str">
        <f>IF(F604&lt;&gt;"",1+MAX($A$1:A603),"")</f>
        <v/>
      </c>
      <c r="B604" s="141"/>
      <c r="C604" s="723"/>
      <c r="D604" s="726"/>
      <c r="E604" s="727"/>
      <c r="F604" s="728"/>
      <c r="G604" s="127"/>
      <c r="H604" s="140"/>
      <c r="I604" s="141"/>
      <c r="J604" s="781"/>
      <c r="K604" s="730"/>
      <c r="L604" s="722"/>
    </row>
    <row r="605" spans="1:13" s="394" customFormat="1" x14ac:dyDescent="0.2">
      <c r="A605" s="714" t="str">
        <f>IF(F605&lt;&gt;"",1+MAX($A$1:A604),"")</f>
        <v/>
      </c>
      <c r="B605" s="141"/>
      <c r="C605" s="723"/>
      <c r="D605" s="723"/>
      <c r="E605" s="769" t="s">
        <v>1753</v>
      </c>
      <c r="F605" s="738"/>
      <c r="G605" s="127"/>
      <c r="H605" s="140"/>
      <c r="I605" s="141"/>
      <c r="J605" s="781"/>
      <c r="K605" s="730"/>
      <c r="L605" s="722"/>
      <c r="M605" s="749"/>
    </row>
    <row r="606" spans="1:13" x14ac:dyDescent="0.2">
      <c r="A606" s="714">
        <f>IF(F606&lt;&gt;"",1+MAX($A$1:A605),"")</f>
        <v>390</v>
      </c>
      <c r="B606" s="141" t="s">
        <v>1748</v>
      </c>
      <c r="C606" s="723"/>
      <c r="D606" s="726"/>
      <c r="E606" s="733" t="s">
        <v>1754</v>
      </c>
      <c r="F606" s="738">
        <v>4514</v>
      </c>
      <c r="G606" s="127">
        <v>0.1</v>
      </c>
      <c r="H606" s="128">
        <f t="shared" ref="H606" si="166">F606*(1+G606)</f>
        <v>4965.4000000000005</v>
      </c>
      <c r="I606" s="129" t="s">
        <v>18</v>
      </c>
      <c r="J606" s="729">
        <v>0</v>
      </c>
      <c r="K606" s="734">
        <f>J606*H606</f>
        <v>0</v>
      </c>
      <c r="L606" s="722"/>
    </row>
    <row r="607" spans="1:13" s="394" customFormat="1" x14ac:dyDescent="0.2">
      <c r="A607" s="714" t="str">
        <f>IF(F607&lt;&gt;"",1+MAX($A$1:A606),"")</f>
        <v/>
      </c>
      <c r="B607" s="141"/>
      <c r="C607" s="723"/>
      <c r="D607" s="726"/>
      <c r="E607" s="727"/>
      <c r="F607" s="728"/>
      <c r="G607" s="127"/>
      <c r="H607" s="140"/>
      <c r="I607" s="141"/>
      <c r="J607" s="781"/>
      <c r="K607" s="730"/>
      <c r="L607" s="722"/>
    </row>
    <row r="608" spans="1:13" s="394" customFormat="1" x14ac:dyDescent="0.2">
      <c r="A608" s="714" t="str">
        <f>IF(F608&lt;&gt;"",1+MAX($A$1:A607),"")</f>
        <v/>
      </c>
      <c r="B608" s="141"/>
      <c r="C608" s="723"/>
      <c r="D608" s="723"/>
      <c r="E608" s="769" t="s">
        <v>566</v>
      </c>
      <c r="F608" s="738"/>
      <c r="G608" s="127"/>
      <c r="H608" s="140"/>
      <c r="I608" s="141"/>
      <c r="J608" s="762"/>
      <c r="K608" s="730"/>
      <c r="L608" s="722"/>
      <c r="M608" s="749"/>
    </row>
    <row r="609" spans="1:12" x14ac:dyDescent="0.2">
      <c r="A609" s="714">
        <f>IF(F609&lt;&gt;"",1+MAX($A$1:A608),"")</f>
        <v>391</v>
      </c>
      <c r="B609" s="141" t="s">
        <v>1740</v>
      </c>
      <c r="C609" s="723"/>
      <c r="D609" s="726"/>
      <c r="E609" s="733" t="s">
        <v>1755</v>
      </c>
      <c r="F609" s="738">
        <v>76.739999999999995</v>
      </c>
      <c r="G609" s="127">
        <v>0.1</v>
      </c>
      <c r="H609" s="128">
        <f t="shared" ref="H609:H637" si="167">F609*(1+G609)</f>
        <v>84.414000000000001</v>
      </c>
      <c r="I609" s="129" t="s">
        <v>15</v>
      </c>
      <c r="J609" s="729">
        <v>0</v>
      </c>
      <c r="K609" s="734">
        <f t="shared" ref="K609:K637" si="168">J609*H609</f>
        <v>0</v>
      </c>
      <c r="L609" s="722"/>
    </row>
    <row r="610" spans="1:12" x14ac:dyDescent="0.2">
      <c r="A610" s="714">
        <f>IF(F610&lt;&gt;"",1+MAX($A$1:A609),"")</f>
        <v>392</v>
      </c>
      <c r="B610" s="141" t="s">
        <v>1740</v>
      </c>
      <c r="C610" s="723"/>
      <c r="D610" s="726"/>
      <c r="E610" s="733" t="s">
        <v>1756</v>
      </c>
      <c r="F610" s="738">
        <v>7</v>
      </c>
      <c r="G610" s="127">
        <v>0</v>
      </c>
      <c r="H610" s="128">
        <f t="shared" si="167"/>
        <v>7</v>
      </c>
      <c r="I610" s="129" t="s">
        <v>20</v>
      </c>
      <c r="J610" s="729">
        <v>0</v>
      </c>
      <c r="K610" s="734">
        <f t="shared" si="168"/>
        <v>0</v>
      </c>
      <c r="L610" s="722"/>
    </row>
    <row r="611" spans="1:12" x14ac:dyDescent="0.2">
      <c r="A611" s="714">
        <f>IF(F611&lt;&gt;"",1+MAX($A$1:A610),"")</f>
        <v>393</v>
      </c>
      <c r="B611" s="141" t="s">
        <v>1757</v>
      </c>
      <c r="C611" s="723"/>
      <c r="D611" s="726"/>
      <c r="E611" s="733" t="s">
        <v>1758</v>
      </c>
      <c r="F611" s="738">
        <v>8</v>
      </c>
      <c r="G611" s="127">
        <v>0</v>
      </c>
      <c r="H611" s="128">
        <f t="shared" si="167"/>
        <v>8</v>
      </c>
      <c r="I611" s="129" t="s">
        <v>20</v>
      </c>
      <c r="J611" s="729">
        <v>0</v>
      </c>
      <c r="K611" s="734">
        <f t="shared" si="168"/>
        <v>0</v>
      </c>
      <c r="L611" s="722"/>
    </row>
    <row r="612" spans="1:12" x14ac:dyDescent="0.2">
      <c r="A612" s="714">
        <f>IF(F612&lt;&gt;"",1+MAX($A$1:A611),"")</f>
        <v>394</v>
      </c>
      <c r="B612" s="141" t="s">
        <v>1740</v>
      </c>
      <c r="C612" s="723"/>
      <c r="D612" s="726"/>
      <c r="E612" s="733" t="s">
        <v>1759</v>
      </c>
      <c r="F612" s="738">
        <v>1</v>
      </c>
      <c r="G612" s="127">
        <v>0</v>
      </c>
      <c r="H612" s="128">
        <f t="shared" si="167"/>
        <v>1</v>
      </c>
      <c r="I612" s="129" t="s">
        <v>20</v>
      </c>
      <c r="J612" s="729">
        <v>0</v>
      </c>
      <c r="K612" s="734">
        <f t="shared" si="168"/>
        <v>0</v>
      </c>
      <c r="L612" s="722"/>
    </row>
    <row r="613" spans="1:12" x14ac:dyDescent="0.2">
      <c r="A613" s="714">
        <f>IF(F613&lt;&gt;"",1+MAX($A$1:A612),"")</f>
        <v>395</v>
      </c>
      <c r="B613" s="141" t="s">
        <v>1760</v>
      </c>
      <c r="C613" s="723"/>
      <c r="D613" s="726"/>
      <c r="E613" s="733" t="s">
        <v>1761</v>
      </c>
      <c r="F613" s="738">
        <v>9</v>
      </c>
      <c r="G613" s="127">
        <v>0</v>
      </c>
      <c r="H613" s="128">
        <f t="shared" si="167"/>
        <v>9</v>
      </c>
      <c r="I613" s="129" t="s">
        <v>20</v>
      </c>
      <c r="J613" s="729">
        <v>0</v>
      </c>
      <c r="K613" s="734">
        <f t="shared" si="168"/>
        <v>0</v>
      </c>
      <c r="L613" s="722"/>
    </row>
    <row r="614" spans="1:12" x14ac:dyDescent="0.2">
      <c r="A614" s="714">
        <f>IF(F614&lt;&gt;"",1+MAX($A$1:A613),"")</f>
        <v>396</v>
      </c>
      <c r="B614" s="141" t="s">
        <v>1740</v>
      </c>
      <c r="C614" s="723"/>
      <c r="D614" s="726"/>
      <c r="E614" s="733" t="s">
        <v>1762</v>
      </c>
      <c r="F614" s="738">
        <v>1</v>
      </c>
      <c r="G614" s="127">
        <v>0</v>
      </c>
      <c r="H614" s="128">
        <f t="shared" si="167"/>
        <v>1</v>
      </c>
      <c r="I614" s="129" t="s">
        <v>20</v>
      </c>
      <c r="J614" s="729">
        <v>0</v>
      </c>
      <c r="K614" s="734">
        <f t="shared" si="168"/>
        <v>0</v>
      </c>
      <c r="L614" s="722"/>
    </row>
    <row r="615" spans="1:12" x14ac:dyDescent="0.2">
      <c r="A615" s="714">
        <f>IF(F615&lt;&gt;"",1+MAX($A$1:A614),"")</f>
        <v>397</v>
      </c>
      <c r="B615" s="141" t="s">
        <v>1740</v>
      </c>
      <c r="C615" s="723"/>
      <c r="D615" s="726"/>
      <c r="E615" s="733" t="s">
        <v>1763</v>
      </c>
      <c r="F615" s="738">
        <v>1</v>
      </c>
      <c r="G615" s="127">
        <v>0</v>
      </c>
      <c r="H615" s="128">
        <f t="shared" si="167"/>
        <v>1</v>
      </c>
      <c r="I615" s="129" t="s">
        <v>20</v>
      </c>
      <c r="J615" s="729">
        <v>0</v>
      </c>
      <c r="K615" s="734">
        <f t="shared" si="168"/>
        <v>0</v>
      </c>
      <c r="L615" s="722"/>
    </row>
    <row r="616" spans="1:12" x14ac:dyDescent="0.2">
      <c r="A616" s="714">
        <f>IF(F616&lt;&gt;"",1+MAX($A$1:A615),"")</f>
        <v>398</v>
      </c>
      <c r="B616" s="141" t="s">
        <v>1740</v>
      </c>
      <c r="C616" s="723"/>
      <c r="D616" s="726"/>
      <c r="E616" s="733" t="s">
        <v>1764</v>
      </c>
      <c r="F616" s="738">
        <v>1</v>
      </c>
      <c r="G616" s="127">
        <v>0</v>
      </c>
      <c r="H616" s="128">
        <f t="shared" si="167"/>
        <v>1</v>
      </c>
      <c r="I616" s="129" t="s">
        <v>20</v>
      </c>
      <c r="J616" s="729">
        <v>0</v>
      </c>
      <c r="K616" s="734">
        <f t="shared" si="168"/>
        <v>0</v>
      </c>
      <c r="L616" s="722"/>
    </row>
    <row r="617" spans="1:12" x14ac:dyDescent="0.2">
      <c r="A617" s="714">
        <f>IF(F617&lt;&gt;"",1+MAX($A$1:A616),"")</f>
        <v>399</v>
      </c>
      <c r="B617" s="141" t="s">
        <v>1748</v>
      </c>
      <c r="C617" s="723"/>
      <c r="D617" s="726"/>
      <c r="E617" s="733" t="s">
        <v>1765</v>
      </c>
      <c r="F617" s="738">
        <v>10</v>
      </c>
      <c r="G617" s="127">
        <v>0</v>
      </c>
      <c r="H617" s="128">
        <f t="shared" si="167"/>
        <v>10</v>
      </c>
      <c r="I617" s="129" t="s">
        <v>20</v>
      </c>
      <c r="J617" s="729">
        <v>0</v>
      </c>
      <c r="K617" s="734">
        <f t="shared" si="168"/>
        <v>0</v>
      </c>
      <c r="L617" s="722"/>
    </row>
    <row r="618" spans="1:12" x14ac:dyDescent="0.2">
      <c r="A618" s="714">
        <f>IF(F618&lt;&gt;"",1+MAX($A$1:A617),"")</f>
        <v>400</v>
      </c>
      <c r="B618" s="141" t="s">
        <v>1748</v>
      </c>
      <c r="C618" s="723"/>
      <c r="D618" s="726"/>
      <c r="E618" s="733" t="s">
        <v>1766</v>
      </c>
      <c r="F618" s="738">
        <v>6</v>
      </c>
      <c r="G618" s="127">
        <v>0</v>
      </c>
      <c r="H618" s="128">
        <f t="shared" si="167"/>
        <v>6</v>
      </c>
      <c r="I618" s="129" t="s">
        <v>20</v>
      </c>
      <c r="J618" s="729">
        <v>0</v>
      </c>
      <c r="K618" s="734">
        <f t="shared" si="168"/>
        <v>0</v>
      </c>
      <c r="L618" s="722"/>
    </row>
    <row r="619" spans="1:12" x14ac:dyDescent="0.2">
      <c r="A619" s="714">
        <f>IF(F619&lt;&gt;"",1+MAX($A$1:A618),"")</f>
        <v>401</v>
      </c>
      <c r="B619" s="141" t="s">
        <v>1748</v>
      </c>
      <c r="C619" s="723"/>
      <c r="D619" s="726"/>
      <c r="E619" s="733" t="s">
        <v>1767</v>
      </c>
      <c r="F619" s="738">
        <v>11</v>
      </c>
      <c r="G619" s="127">
        <v>0</v>
      </c>
      <c r="H619" s="128">
        <f t="shared" si="167"/>
        <v>11</v>
      </c>
      <c r="I619" s="129" t="s">
        <v>20</v>
      </c>
      <c r="J619" s="729">
        <v>0</v>
      </c>
      <c r="K619" s="734">
        <f t="shared" si="168"/>
        <v>0</v>
      </c>
      <c r="L619" s="722"/>
    </row>
    <row r="620" spans="1:12" x14ac:dyDescent="0.2">
      <c r="A620" s="714">
        <f>IF(F620&lt;&gt;"",1+MAX($A$1:A619),"")</f>
        <v>402</v>
      </c>
      <c r="B620" s="141" t="s">
        <v>1748</v>
      </c>
      <c r="C620" s="723"/>
      <c r="D620" s="726"/>
      <c r="E620" s="733" t="s">
        <v>1768</v>
      </c>
      <c r="F620" s="738">
        <v>46</v>
      </c>
      <c r="G620" s="127">
        <v>0</v>
      </c>
      <c r="H620" s="128">
        <f t="shared" si="167"/>
        <v>46</v>
      </c>
      <c r="I620" s="129" t="s">
        <v>20</v>
      </c>
      <c r="J620" s="729">
        <v>0</v>
      </c>
      <c r="K620" s="734">
        <f t="shared" si="168"/>
        <v>0</v>
      </c>
      <c r="L620" s="722"/>
    </row>
    <row r="621" spans="1:12" x14ac:dyDescent="0.2">
      <c r="A621" s="714">
        <f>IF(F621&lt;&gt;"",1+MAX($A$1:A620),"")</f>
        <v>403</v>
      </c>
      <c r="B621" s="141" t="s">
        <v>1740</v>
      </c>
      <c r="C621" s="723"/>
      <c r="D621" s="726"/>
      <c r="E621" s="733" t="s">
        <v>1769</v>
      </c>
      <c r="F621" s="738">
        <v>1</v>
      </c>
      <c r="G621" s="127">
        <v>0</v>
      </c>
      <c r="H621" s="128">
        <f t="shared" si="167"/>
        <v>1</v>
      </c>
      <c r="I621" s="129" t="s">
        <v>20</v>
      </c>
      <c r="J621" s="729">
        <v>0</v>
      </c>
      <c r="K621" s="734">
        <f t="shared" si="168"/>
        <v>0</v>
      </c>
      <c r="L621" s="722"/>
    </row>
    <row r="622" spans="1:12" x14ac:dyDescent="0.2">
      <c r="A622" s="714">
        <f>IF(F622&lt;&gt;"",1+MAX($A$1:A621),"")</f>
        <v>404</v>
      </c>
      <c r="B622" s="141" t="s">
        <v>1760</v>
      </c>
      <c r="C622" s="723"/>
      <c r="D622" s="726"/>
      <c r="E622" s="733" t="s">
        <v>1770</v>
      </c>
      <c r="F622" s="738">
        <v>22</v>
      </c>
      <c r="G622" s="127">
        <v>0</v>
      </c>
      <c r="H622" s="128">
        <f t="shared" si="167"/>
        <v>22</v>
      </c>
      <c r="I622" s="129" t="s">
        <v>20</v>
      </c>
      <c r="J622" s="729">
        <v>0</v>
      </c>
      <c r="K622" s="734">
        <f t="shared" si="168"/>
        <v>0</v>
      </c>
      <c r="L622" s="722"/>
    </row>
    <row r="623" spans="1:12" x14ac:dyDescent="0.2">
      <c r="A623" s="714">
        <f>IF(F623&lt;&gt;"",1+MAX($A$1:A622),"")</f>
        <v>405</v>
      </c>
      <c r="B623" s="141" t="s">
        <v>1757</v>
      </c>
      <c r="C623" s="723"/>
      <c r="D623" s="726"/>
      <c r="E623" s="733" t="s">
        <v>1771</v>
      </c>
      <c r="F623" s="738">
        <v>8</v>
      </c>
      <c r="G623" s="127">
        <v>0</v>
      </c>
      <c r="H623" s="128">
        <f t="shared" si="167"/>
        <v>8</v>
      </c>
      <c r="I623" s="129" t="s">
        <v>20</v>
      </c>
      <c r="J623" s="729">
        <v>0</v>
      </c>
      <c r="K623" s="734">
        <f t="shared" si="168"/>
        <v>0</v>
      </c>
      <c r="L623" s="722"/>
    </row>
    <row r="624" spans="1:12" x14ac:dyDescent="0.2">
      <c r="A624" s="714">
        <f>IF(F624&lt;&gt;"",1+MAX($A$1:A623),"")</f>
        <v>406</v>
      </c>
      <c r="B624" s="141" t="s">
        <v>1760</v>
      </c>
      <c r="C624" s="723"/>
      <c r="D624" s="726"/>
      <c r="E624" s="733" t="s">
        <v>1772</v>
      </c>
      <c r="F624" s="738">
        <v>7</v>
      </c>
      <c r="G624" s="127">
        <v>0</v>
      </c>
      <c r="H624" s="128">
        <f t="shared" si="167"/>
        <v>7</v>
      </c>
      <c r="I624" s="129" t="s">
        <v>20</v>
      </c>
      <c r="J624" s="729">
        <v>0</v>
      </c>
      <c r="K624" s="734">
        <f t="shared" si="168"/>
        <v>0</v>
      </c>
      <c r="L624" s="722"/>
    </row>
    <row r="625" spans="1:13" x14ac:dyDescent="0.2">
      <c r="A625" s="714">
        <f>IF(F625&lt;&gt;"",1+MAX($A$1:A624),"")</f>
        <v>407</v>
      </c>
      <c r="B625" s="141" t="s">
        <v>1760</v>
      </c>
      <c r="C625" s="723"/>
      <c r="D625" s="726"/>
      <c r="E625" s="733" t="s">
        <v>1773</v>
      </c>
      <c r="F625" s="738">
        <v>27</v>
      </c>
      <c r="G625" s="127">
        <v>0</v>
      </c>
      <c r="H625" s="128">
        <f t="shared" si="167"/>
        <v>27</v>
      </c>
      <c r="I625" s="129" t="s">
        <v>20</v>
      </c>
      <c r="J625" s="729">
        <v>0</v>
      </c>
      <c r="K625" s="734">
        <f t="shared" si="168"/>
        <v>0</v>
      </c>
      <c r="L625" s="722"/>
    </row>
    <row r="626" spans="1:13" x14ac:dyDescent="0.2">
      <c r="A626" s="714">
        <f>IF(F626&lt;&gt;"",1+MAX($A$1:A625),"")</f>
        <v>408</v>
      </c>
      <c r="B626" s="141" t="s">
        <v>1748</v>
      </c>
      <c r="C626" s="723"/>
      <c r="D626" s="726"/>
      <c r="E626" s="733" t="s">
        <v>1774</v>
      </c>
      <c r="F626" s="738">
        <v>62</v>
      </c>
      <c r="G626" s="127">
        <v>0</v>
      </c>
      <c r="H626" s="128">
        <f t="shared" si="167"/>
        <v>62</v>
      </c>
      <c r="I626" s="129" t="s">
        <v>20</v>
      </c>
      <c r="J626" s="729">
        <v>0</v>
      </c>
      <c r="K626" s="734">
        <f t="shared" si="168"/>
        <v>0</v>
      </c>
      <c r="L626" s="722"/>
    </row>
    <row r="627" spans="1:13" x14ac:dyDescent="0.2">
      <c r="A627" s="714">
        <f>IF(F627&lt;&gt;"",1+MAX($A$1:A626),"")</f>
        <v>409</v>
      </c>
      <c r="B627" s="141" t="s">
        <v>1760</v>
      </c>
      <c r="C627" s="723"/>
      <c r="D627" s="726"/>
      <c r="E627" s="733" t="s">
        <v>1775</v>
      </c>
      <c r="F627" s="738">
        <v>16</v>
      </c>
      <c r="G627" s="127">
        <v>0</v>
      </c>
      <c r="H627" s="128">
        <f t="shared" si="167"/>
        <v>16</v>
      </c>
      <c r="I627" s="129" t="s">
        <v>20</v>
      </c>
      <c r="J627" s="729">
        <v>0</v>
      </c>
      <c r="K627" s="734">
        <f t="shared" si="168"/>
        <v>0</v>
      </c>
      <c r="L627" s="722"/>
    </row>
    <row r="628" spans="1:13" x14ac:dyDescent="0.2">
      <c r="A628" s="714">
        <f>IF(F628&lt;&gt;"",1+MAX($A$1:A627),"")</f>
        <v>410</v>
      </c>
      <c r="B628" s="141" t="s">
        <v>1740</v>
      </c>
      <c r="C628" s="723"/>
      <c r="D628" s="726"/>
      <c r="E628" s="733" t="s">
        <v>1776</v>
      </c>
      <c r="F628" s="738">
        <v>1</v>
      </c>
      <c r="G628" s="127">
        <v>0</v>
      </c>
      <c r="H628" s="128">
        <f t="shared" si="167"/>
        <v>1</v>
      </c>
      <c r="I628" s="129" t="s">
        <v>20</v>
      </c>
      <c r="J628" s="729">
        <v>0</v>
      </c>
      <c r="K628" s="734">
        <f t="shared" si="168"/>
        <v>0</v>
      </c>
      <c r="L628" s="722"/>
    </row>
    <row r="629" spans="1:13" x14ac:dyDescent="0.2">
      <c r="A629" s="714">
        <f>IF(F629&lt;&gt;"",1+MAX($A$1:A628),"")</f>
        <v>411</v>
      </c>
      <c r="B629" s="141" t="s">
        <v>1757</v>
      </c>
      <c r="C629" s="723"/>
      <c r="D629" s="726"/>
      <c r="E629" s="733" t="s">
        <v>1777</v>
      </c>
      <c r="F629" s="738">
        <v>6</v>
      </c>
      <c r="G629" s="127">
        <v>0</v>
      </c>
      <c r="H629" s="128">
        <f t="shared" si="167"/>
        <v>6</v>
      </c>
      <c r="I629" s="129" t="s">
        <v>20</v>
      </c>
      <c r="J629" s="729">
        <v>0</v>
      </c>
      <c r="K629" s="734">
        <f t="shared" si="168"/>
        <v>0</v>
      </c>
      <c r="L629" s="722"/>
    </row>
    <row r="630" spans="1:13" x14ac:dyDescent="0.2">
      <c r="A630" s="714">
        <f>IF(F630&lt;&gt;"",1+MAX($A$1:A629),"")</f>
        <v>412</v>
      </c>
      <c r="B630" s="141" t="s">
        <v>1612</v>
      </c>
      <c r="C630" s="723"/>
      <c r="D630" s="726"/>
      <c r="E630" s="733" t="s">
        <v>1778</v>
      </c>
      <c r="F630" s="738">
        <v>1</v>
      </c>
      <c r="G630" s="127">
        <v>0</v>
      </c>
      <c r="H630" s="128">
        <f t="shared" si="167"/>
        <v>1</v>
      </c>
      <c r="I630" s="129" t="s">
        <v>20</v>
      </c>
      <c r="J630" s="729">
        <v>0</v>
      </c>
      <c r="K630" s="734">
        <f t="shared" si="168"/>
        <v>0</v>
      </c>
      <c r="L630" s="722"/>
    </row>
    <row r="631" spans="1:13" x14ac:dyDescent="0.2">
      <c r="A631" s="714">
        <f>IF(F631&lt;&gt;"",1+MAX($A$1:A630),"")</f>
        <v>413</v>
      </c>
      <c r="B631" s="141" t="s">
        <v>1612</v>
      </c>
      <c r="C631" s="723"/>
      <c r="D631" s="726"/>
      <c r="E631" s="733" t="s">
        <v>1779</v>
      </c>
      <c r="F631" s="738">
        <v>1</v>
      </c>
      <c r="G631" s="127">
        <v>0</v>
      </c>
      <c r="H631" s="128">
        <f t="shared" si="167"/>
        <v>1</v>
      </c>
      <c r="I631" s="129" t="s">
        <v>20</v>
      </c>
      <c r="J631" s="729">
        <v>0</v>
      </c>
      <c r="K631" s="734">
        <f t="shared" si="168"/>
        <v>0</v>
      </c>
      <c r="L631" s="722"/>
    </row>
    <row r="632" spans="1:13" x14ac:dyDescent="0.2">
      <c r="A632" s="714">
        <f>IF(F632&lt;&gt;"",1+MAX($A$1:A631),"")</f>
        <v>414</v>
      </c>
      <c r="B632" s="141" t="s">
        <v>1612</v>
      </c>
      <c r="C632" s="723"/>
      <c r="D632" s="726"/>
      <c r="E632" s="733" t="s">
        <v>1780</v>
      </c>
      <c r="F632" s="738">
        <v>1</v>
      </c>
      <c r="G632" s="127">
        <v>0</v>
      </c>
      <c r="H632" s="128">
        <f t="shared" si="167"/>
        <v>1</v>
      </c>
      <c r="I632" s="129" t="s">
        <v>20</v>
      </c>
      <c r="J632" s="729">
        <v>0</v>
      </c>
      <c r="K632" s="734">
        <f t="shared" si="168"/>
        <v>0</v>
      </c>
      <c r="L632" s="722"/>
    </row>
    <row r="633" spans="1:13" s="394" customFormat="1" x14ac:dyDescent="0.2">
      <c r="A633" s="714" t="str">
        <f>IF(F633&lt;&gt;"",1+MAX($A$1:A632),"")</f>
        <v/>
      </c>
      <c r="B633" s="141"/>
      <c r="C633" s="723"/>
      <c r="D633" s="726"/>
      <c r="E633" s="727"/>
      <c r="F633" s="728"/>
      <c r="G633" s="127"/>
      <c r="H633" s="140"/>
      <c r="I633" s="141"/>
      <c r="J633" s="781"/>
      <c r="K633" s="730"/>
      <c r="L633" s="722"/>
    </row>
    <row r="634" spans="1:13" x14ac:dyDescent="0.2">
      <c r="A634" s="714">
        <f>IF(F634&lt;&gt;"",1+MAX($A$1:A633),"")</f>
        <v>415</v>
      </c>
      <c r="B634" s="141" t="s">
        <v>1781</v>
      </c>
      <c r="C634" s="723"/>
      <c r="D634" s="726"/>
      <c r="E634" s="733" t="s">
        <v>1782</v>
      </c>
      <c r="F634" s="738">
        <v>525.16999999999996</v>
      </c>
      <c r="G634" s="127">
        <v>0.1</v>
      </c>
      <c r="H634" s="128">
        <f t="shared" si="167"/>
        <v>577.68700000000001</v>
      </c>
      <c r="I634" s="129" t="s">
        <v>15</v>
      </c>
      <c r="J634" s="729">
        <v>0</v>
      </c>
      <c r="K634" s="734">
        <f t="shared" si="168"/>
        <v>0</v>
      </c>
      <c r="L634" s="722"/>
    </row>
    <row r="635" spans="1:13" x14ac:dyDescent="0.2">
      <c r="A635" s="714">
        <f>IF(F635&lt;&gt;"",1+MAX($A$1:A634),"")</f>
        <v>416</v>
      </c>
      <c r="B635" s="141" t="s">
        <v>1783</v>
      </c>
      <c r="C635" s="723"/>
      <c r="D635" s="726"/>
      <c r="E635" s="733" t="s">
        <v>1784</v>
      </c>
      <c r="F635" s="738">
        <v>351.93</v>
      </c>
      <c r="G635" s="127">
        <v>0.1</v>
      </c>
      <c r="H635" s="128">
        <f t="shared" si="167"/>
        <v>387.12300000000005</v>
      </c>
      <c r="I635" s="129" t="s">
        <v>15</v>
      </c>
      <c r="J635" s="729">
        <v>0</v>
      </c>
      <c r="K635" s="734">
        <f t="shared" si="168"/>
        <v>0</v>
      </c>
      <c r="L635" s="722"/>
    </row>
    <row r="636" spans="1:13" x14ac:dyDescent="0.2">
      <c r="A636" s="714">
        <f>IF(F636&lt;&gt;"",1+MAX($A$1:A635),"")</f>
        <v>417</v>
      </c>
      <c r="B636" s="141" t="s">
        <v>1785</v>
      </c>
      <c r="C636" s="723"/>
      <c r="D636" s="726"/>
      <c r="E636" s="733" t="s">
        <v>1786</v>
      </c>
      <c r="F636" s="738">
        <v>301.37</v>
      </c>
      <c r="G636" s="127">
        <v>0.1</v>
      </c>
      <c r="H636" s="128">
        <f t="shared" si="167"/>
        <v>331.50700000000001</v>
      </c>
      <c r="I636" s="129" t="s">
        <v>15</v>
      </c>
      <c r="J636" s="729">
        <v>0</v>
      </c>
      <c r="K636" s="734">
        <f t="shared" si="168"/>
        <v>0</v>
      </c>
      <c r="L636" s="722"/>
    </row>
    <row r="637" spans="1:13" x14ac:dyDescent="0.2">
      <c r="A637" s="714">
        <f>IF(F637&lt;&gt;"",1+MAX($A$1:A636),"")</f>
        <v>418</v>
      </c>
      <c r="B637" s="141" t="s">
        <v>1787</v>
      </c>
      <c r="C637" s="723"/>
      <c r="D637" s="726"/>
      <c r="E637" s="733" t="s">
        <v>1788</v>
      </c>
      <c r="F637" s="738">
        <v>228.08</v>
      </c>
      <c r="G637" s="127">
        <v>0.1</v>
      </c>
      <c r="H637" s="128">
        <f t="shared" si="167"/>
        <v>250.88800000000003</v>
      </c>
      <c r="I637" s="129" t="s">
        <v>15</v>
      </c>
      <c r="J637" s="729">
        <v>0</v>
      </c>
      <c r="K637" s="734">
        <f t="shared" si="168"/>
        <v>0</v>
      </c>
      <c r="L637" s="722"/>
    </row>
    <row r="638" spans="1:13" ht="16.5" thickBot="1" x14ac:dyDescent="0.25">
      <c r="A638" s="714" t="str">
        <f>IF(F638&lt;&gt;"",1+MAX($A$1:A637),"")</f>
        <v/>
      </c>
      <c r="B638" s="141"/>
      <c r="C638" s="723"/>
      <c r="D638" s="368"/>
      <c r="E638" s="813"/>
      <c r="F638" s="573"/>
      <c r="G638" s="574"/>
      <c r="H638" s="573"/>
      <c r="I638" s="575"/>
      <c r="J638" s="741"/>
      <c r="K638" s="577"/>
      <c r="L638" s="578"/>
    </row>
    <row r="639" spans="1:13" ht="16.5" thickBot="1" x14ac:dyDescent="0.25">
      <c r="A639" s="714" t="str">
        <f>IF(F639&lt;&gt;"",1+MAX($A$1:A638),"")</f>
        <v/>
      </c>
      <c r="B639" s="726"/>
      <c r="C639" s="726"/>
      <c r="D639" s="370"/>
      <c r="E639" s="742" t="s">
        <v>1789</v>
      </c>
      <c r="F639" s="738"/>
      <c r="G639" s="743"/>
      <c r="H639" s="128"/>
      <c r="I639" s="129"/>
      <c r="J639" s="744"/>
      <c r="K639" s="69"/>
      <c r="L639" s="49">
        <f>SUM(K477:K638)</f>
        <v>0</v>
      </c>
      <c r="M639" s="745"/>
    </row>
    <row r="640" spans="1:13" s="394" customFormat="1" ht="16.5" thickBot="1" x14ac:dyDescent="0.25">
      <c r="A640" s="714" t="str">
        <f>IF(F640&lt;&gt;"",1+MAX($A$1:A639),"")</f>
        <v/>
      </c>
      <c r="B640" s="141"/>
      <c r="C640" s="723"/>
      <c r="D640" s="726"/>
      <c r="E640" s="727"/>
      <c r="F640" s="728"/>
      <c r="G640" s="127"/>
      <c r="H640" s="140"/>
      <c r="I640" s="141"/>
      <c r="J640" s="781"/>
      <c r="K640" s="730"/>
      <c r="L640" s="722"/>
    </row>
    <row r="641" spans="1:14" s="394" customFormat="1" ht="16.5" thickBot="1" x14ac:dyDescent="0.25">
      <c r="A641" s="714" t="str">
        <f>IF(F641&lt;&gt;"",1+MAX($A$1:A640),"")</f>
        <v/>
      </c>
      <c r="B641" s="141"/>
      <c r="C641" s="723"/>
      <c r="D641" s="723"/>
      <c r="E641" s="561" t="s">
        <v>1790</v>
      </c>
      <c r="F641" s="537"/>
      <c r="G641" s="127"/>
      <c r="H641" s="140"/>
      <c r="I641" s="141"/>
      <c r="J641" s="762"/>
      <c r="K641" s="730"/>
      <c r="L641" s="722"/>
      <c r="M641" s="749"/>
    </row>
    <row r="642" spans="1:14" x14ac:dyDescent="0.2">
      <c r="A642" s="714">
        <f>IF(F642&lt;&gt;"",1+MAX($A$1:A641),"")</f>
        <v>419</v>
      </c>
      <c r="B642" s="141" t="s">
        <v>1437</v>
      </c>
      <c r="C642" s="723"/>
      <c r="D642" s="726"/>
      <c r="E642" s="733" t="s">
        <v>1791</v>
      </c>
      <c r="F642" s="738">
        <v>2</v>
      </c>
      <c r="G642" s="127">
        <v>0</v>
      </c>
      <c r="H642" s="128">
        <f>F642*(1+G642)</f>
        <v>2</v>
      </c>
      <c r="I642" s="129" t="s">
        <v>20</v>
      </c>
      <c r="J642" s="729">
        <v>0</v>
      </c>
      <c r="K642" s="734">
        <f>J642*H642</f>
        <v>0</v>
      </c>
      <c r="L642" s="722"/>
    </row>
    <row r="643" spans="1:14" ht="16.5" thickBot="1" x14ac:dyDescent="0.25">
      <c r="A643" s="714" t="str">
        <f>IF(F643&lt;&gt;"",1+MAX($A$1:A642),"")</f>
        <v/>
      </c>
      <c r="B643" s="141"/>
      <c r="C643" s="723"/>
      <c r="D643" s="368"/>
      <c r="E643" s="813"/>
      <c r="F643" s="573"/>
      <c r="G643" s="574"/>
      <c r="H643" s="573"/>
      <c r="I643" s="575"/>
      <c r="J643" s="741"/>
      <c r="K643" s="577"/>
      <c r="L643" s="578"/>
    </row>
    <row r="644" spans="1:14" ht="16.5" thickBot="1" x14ac:dyDescent="0.25">
      <c r="A644" s="714" t="str">
        <f>IF(F644&lt;&gt;"",1+MAX($A$1:A643),"")</f>
        <v/>
      </c>
      <c r="B644" s="726"/>
      <c r="C644" s="726"/>
      <c r="D644" s="370"/>
      <c r="E644" s="742" t="s">
        <v>1792</v>
      </c>
      <c r="F644" s="738"/>
      <c r="G644" s="743"/>
      <c r="H644" s="128"/>
      <c r="I644" s="129"/>
      <c r="J644" s="744"/>
      <c r="K644" s="69"/>
      <c r="L644" s="49">
        <f>SUM(K641:K643)</f>
        <v>0</v>
      </c>
      <c r="M644" s="745"/>
    </row>
    <row r="645" spans="1:14" x14ac:dyDescent="0.2">
      <c r="A645" s="714" t="str">
        <f>IF(F645&lt;&gt;"",1+MAX($A$6:A644),"")</f>
        <v/>
      </c>
      <c r="B645" s="726"/>
      <c r="C645" s="726"/>
      <c r="D645" s="370"/>
      <c r="E645" s="733"/>
      <c r="F645" s="738"/>
      <c r="G645" s="743"/>
      <c r="H645" s="128"/>
      <c r="I645" s="129"/>
      <c r="J645" s="744"/>
      <c r="K645" s="65"/>
      <c r="L645" s="783"/>
    </row>
    <row r="646" spans="1:14" ht="16.5" thickBot="1" x14ac:dyDescent="0.25">
      <c r="A646" s="784" t="str">
        <f>IF(F646&lt;&gt;"",1+MAX($A$6:A645),"")</f>
        <v/>
      </c>
      <c r="B646" s="785"/>
      <c r="C646" s="785"/>
      <c r="D646" s="785"/>
      <c r="E646" s="786"/>
      <c r="F646" s="787"/>
      <c r="G646" s="788"/>
      <c r="H646" s="788"/>
      <c r="I646" s="789"/>
      <c r="J646" s="592"/>
      <c r="K646" s="593"/>
      <c r="L646" s="594"/>
    </row>
    <row r="647" spans="1:14" x14ac:dyDescent="0.2">
      <c r="A647" s="596" t="s">
        <v>14</v>
      </c>
      <c r="B647" s="597"/>
      <c r="C647" s="597"/>
      <c r="D647" s="597"/>
      <c r="E647" s="598" t="s">
        <v>511</v>
      </c>
      <c r="F647" s="599"/>
      <c r="G647" s="600"/>
      <c r="H647" s="600"/>
      <c r="I647" s="601"/>
      <c r="J647" s="602"/>
      <c r="K647" s="603">
        <f>(SUM(K7:K646))</f>
        <v>0</v>
      </c>
      <c r="L647" s="604">
        <f>(SUM(L7:L646))</f>
        <v>0</v>
      </c>
      <c r="N647" s="745"/>
    </row>
    <row r="648" spans="1:14" ht="16.5" thickBot="1" x14ac:dyDescent="0.25">
      <c r="A648" s="606" t="s">
        <v>1793</v>
      </c>
      <c r="B648" s="607"/>
      <c r="C648" s="607"/>
      <c r="D648" s="607"/>
      <c r="E648" s="608"/>
      <c r="F648" s="609"/>
      <c r="G648" s="610"/>
      <c r="H648" s="96"/>
      <c r="I648" s="607"/>
      <c r="J648" s="611"/>
      <c r="K648" s="612">
        <f>SUM(K647:K647)</f>
        <v>0</v>
      </c>
      <c r="L648" s="613"/>
    </row>
    <row r="649" spans="1:14" x14ac:dyDescent="0.2">
      <c r="A649" s="790" t="s">
        <v>1794</v>
      </c>
      <c r="B649" s="622"/>
      <c r="C649" s="622"/>
      <c r="D649" s="622"/>
      <c r="E649" s="623"/>
      <c r="F649" s="624"/>
      <c r="G649" s="625"/>
      <c r="H649" s="625"/>
      <c r="I649" s="622"/>
      <c r="K649" s="627"/>
      <c r="L649" s="340"/>
    </row>
    <row r="650" spans="1:14" x14ac:dyDescent="0.2">
      <c r="A650" s="791" t="s">
        <v>1834</v>
      </c>
      <c r="B650" s="622"/>
      <c r="C650" s="622"/>
      <c r="D650" s="622"/>
      <c r="E650" s="623"/>
      <c r="F650" s="624"/>
      <c r="G650" s="625"/>
      <c r="H650" s="625"/>
      <c r="I650" s="622"/>
      <c r="K650" s="627"/>
      <c r="L650" s="340"/>
    </row>
    <row r="651" spans="1:14" x14ac:dyDescent="0.2">
      <c r="A651" s="791" t="s">
        <v>1836</v>
      </c>
      <c r="B651" s="622"/>
      <c r="C651" s="622"/>
      <c r="D651" s="622"/>
      <c r="E651" s="623"/>
      <c r="F651" s="624"/>
      <c r="G651" s="625"/>
      <c r="H651" s="625"/>
      <c r="I651" s="622"/>
      <c r="K651" s="627"/>
      <c r="L651" s="340"/>
    </row>
    <row r="652" spans="1:14" x14ac:dyDescent="0.2">
      <c r="A652" s="791" t="s">
        <v>1795</v>
      </c>
      <c r="B652" s="622"/>
      <c r="C652" s="622"/>
      <c r="D652" s="622"/>
      <c r="E652" s="623"/>
      <c r="F652" s="624"/>
      <c r="G652" s="625"/>
      <c r="H652" s="625"/>
      <c r="I652" s="622"/>
      <c r="K652" s="627"/>
      <c r="L652" s="340"/>
    </row>
    <row r="653" spans="1:14" x14ac:dyDescent="0.2">
      <c r="A653" s="791" t="s">
        <v>1796</v>
      </c>
      <c r="B653" s="622"/>
      <c r="C653" s="622"/>
      <c r="D653" s="622"/>
      <c r="E653" s="623"/>
      <c r="F653" s="624"/>
      <c r="G653" s="625"/>
      <c r="H653" s="625"/>
      <c r="I653" s="622"/>
      <c r="K653" s="627"/>
      <c r="L653" s="340"/>
    </row>
    <row r="654" spans="1:14" x14ac:dyDescent="0.2">
      <c r="A654" s="791" t="s">
        <v>1797</v>
      </c>
      <c r="B654" s="622"/>
      <c r="C654" s="622"/>
      <c r="D654" s="622"/>
      <c r="E654" s="623"/>
      <c r="F654" s="624"/>
      <c r="G654" s="625"/>
      <c r="H654" s="625"/>
      <c r="I654" s="622"/>
      <c r="K654" s="627"/>
      <c r="L654" s="340"/>
    </row>
    <row r="655" spans="1:14" x14ac:dyDescent="0.2">
      <c r="A655" s="791" t="s">
        <v>1798</v>
      </c>
      <c r="B655" s="622"/>
      <c r="C655" s="622"/>
      <c r="D655" s="622"/>
      <c r="E655" s="623"/>
      <c r="F655" s="624"/>
      <c r="G655" s="625"/>
      <c r="H655" s="625"/>
      <c r="I655" s="622"/>
      <c r="K655" s="627"/>
      <c r="L655" s="340"/>
    </row>
    <row r="656" spans="1:14" ht="16.5" thickBot="1" x14ac:dyDescent="0.25">
      <c r="A656" s="614" t="s">
        <v>1799</v>
      </c>
      <c r="B656" s="615"/>
      <c r="C656" s="615"/>
      <c r="D656" s="615"/>
      <c r="E656" s="616"/>
      <c r="F656" s="617"/>
      <c r="G656" s="618"/>
      <c r="H656" s="618"/>
      <c r="I656" s="615"/>
      <c r="J656" s="619"/>
      <c r="K656" s="620"/>
      <c r="L656" s="621"/>
    </row>
  </sheetData>
  <pageMargins left="0.25" right="0.25" top="0.75" bottom="0.75" header="0.3" footer="0.3"/>
  <pageSetup paperSize="140" scale="83" fitToHeight="0"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CE2084F5-D5E5-45CF-89B6-BBAB9123CAB5}">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SUMMARY</vt:lpstr>
      <vt:lpstr>BUILDING ESTIMATE</vt:lpstr>
      <vt:lpstr>BUILDING CONCRETE</vt:lpstr>
      <vt:lpstr>LUMBER ORDER LIST</vt:lpstr>
      <vt:lpstr>TRUSSES</vt:lpstr>
      <vt:lpstr>ELEC &amp; PLUMB &amp; HVAC</vt:lpstr>
      <vt:lpstr>SITE WORKS</vt:lpstr>
      <vt:lpstr>'BUILDING CONCRETE'!Print_Area</vt:lpstr>
      <vt:lpstr>'BUILDING ESTIMATE'!Print_Area</vt:lpstr>
      <vt:lpstr>'ELEC &amp; PLUMB &amp; HVAC'!Print_Area</vt:lpstr>
      <vt:lpstr>'LUMBER ORDER LIST'!Print_Area</vt:lpstr>
      <vt:lpstr>'SITE WORKS'!Print_Area</vt:lpstr>
      <vt:lpstr>SUMMARY!Print_Area</vt:lpstr>
      <vt:lpstr>TRUSSES!Print_Area</vt:lpstr>
      <vt:lpstr>'BUILDING CONCRETE'!Print_Titles</vt:lpstr>
      <vt:lpstr>'BUILDING ESTIMATE'!Print_Titles</vt:lpstr>
      <vt:lpstr>'ELEC &amp; PLUMB &amp; HVAC'!Print_Titles</vt:lpstr>
      <vt:lpstr>'LUMBER ORDER LIST'!Print_Titles</vt:lpstr>
      <vt:lpstr>'SITE WORKS'!Print_Titles</vt:lpstr>
      <vt:lpstr>TRUSSES!Print_Titles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2013-07-08T09:36:48Z</dcterms:created>
  <dcterms:modified xsi:type="dcterms:W3CDTF">2023-12-28T14:33:13Z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lanSwiftJobName">
    <vt:lpwstr/>
  </property>
  <property fmtid="{D5CDD505-2E9C-101B-9397-08002B2CF9AE}" pid="4" name="PlanSwiftJobGuid">
    <vt:lpwstr/>
  </property>
  <property fmtid="{D5CDD505-2E9C-101B-9397-08002B2CF9AE}" pid="5" name="LinkedDataId">
    <vt:lpwstr>{CE2084F5-D5E5-45CF-89B6-BBAB9123CAB5}</vt:lpwstr>
  </property>
</Properties>
</file>