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SUMMARY" sheetId="21" r:id="rId1"/>
    <sheet name="BUILDING CONCRETE" sheetId="20" r:id="rId2"/>
    <sheet name="SITE CONCRETE" sheetId="22" r:id="rId3"/>
  </sheets>
  <definedNames>
    <definedName name="_xlnm._FilterDatabase" localSheetId="1" hidden="1">'BUILDING CONCRETE'!$C$1:$L$114</definedName>
    <definedName name="_xlnm._FilterDatabase" localSheetId="2" hidden="1">'SITE CONCRETE'!$E$1:$M$153</definedName>
    <definedName name="_xlnm.Print_Area" localSheetId="1">'BUILDING CONCRETE'!$A$1:$N$114</definedName>
    <definedName name="_xlnm.Print_Area" localSheetId="2">'SITE CONCRETE'!$A$1:$N$153</definedName>
    <definedName name="_xlnm.Print_Area" localSheetId="0">SUMMARY!$A$1:$E$25</definedName>
    <definedName name="_xlnm.Print_Titles" localSheetId="1">'BUILDING CONCRETE'!$1:$6</definedName>
    <definedName name="_xlnm.Print_Titles" localSheetId="2">'SITE CONCRETE'!$1:$6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22" l="1"/>
  <c r="A13" i="22"/>
  <c r="A14" i="22"/>
  <c r="A15" i="22"/>
  <c r="A16" i="22"/>
  <c r="A21" i="22"/>
  <c r="A22" i="22"/>
  <c r="A23" i="22"/>
  <c r="A28" i="22"/>
  <c r="A29" i="22"/>
  <c r="A34" i="22"/>
  <c r="A35" i="22"/>
  <c r="A37" i="22"/>
  <c r="A38" i="22"/>
  <c r="A39" i="22"/>
  <c r="A47" i="22"/>
  <c r="A48" i="22"/>
  <c r="A55" i="22"/>
  <c r="A56" i="22"/>
  <c r="A57" i="22"/>
  <c r="A65" i="22"/>
  <c r="A74" i="22"/>
  <c r="A75" i="22"/>
  <c r="A76" i="22"/>
  <c r="A82" i="22"/>
  <c r="A83" i="22"/>
  <c r="A84" i="22"/>
  <c r="A91" i="22"/>
  <c r="A92" i="22"/>
  <c r="A93" i="22"/>
  <c r="A98" i="22"/>
  <c r="A99" i="22"/>
  <c r="A100" i="22"/>
  <c r="A106" i="22"/>
  <c r="A107" i="22"/>
  <c r="A108" i="22"/>
  <c r="A114" i="22"/>
  <c r="A115" i="22"/>
  <c r="A121" i="22"/>
  <c r="A122" i="22"/>
  <c r="A128" i="22"/>
  <c r="A129" i="22"/>
  <c r="A132" i="22"/>
  <c r="A133" i="22"/>
  <c r="A137" i="22"/>
  <c r="A138" i="22"/>
  <c r="A140" i="22"/>
  <c r="A141" i="22"/>
  <c r="A18" i="22" l="1"/>
  <c r="A17" i="22"/>
  <c r="K113" i="22"/>
  <c r="J113" i="22"/>
  <c r="D30" i="22"/>
  <c r="A20" i="22" l="1"/>
  <c r="A24" i="22"/>
  <c r="A19" i="22"/>
  <c r="D66" i="22"/>
  <c r="D58" i="22"/>
  <c r="A15" i="20"/>
  <c r="A16" i="20"/>
  <c r="A22" i="20"/>
  <c r="A23" i="20"/>
  <c r="A29" i="20"/>
  <c r="A30" i="20"/>
  <c r="A36" i="20"/>
  <c r="A37" i="20"/>
  <c r="A43" i="20"/>
  <c r="A44" i="20"/>
  <c r="A50" i="20"/>
  <c r="A51" i="20"/>
  <c r="A53" i="20"/>
  <c r="A54" i="20"/>
  <c r="A55" i="20"/>
  <c r="A60" i="20"/>
  <c r="A61" i="20"/>
  <c r="A66" i="20"/>
  <c r="A67" i="20"/>
  <c r="A72" i="20"/>
  <c r="A73" i="20"/>
  <c r="A77" i="20"/>
  <c r="A78" i="20"/>
  <c r="A79" i="20"/>
  <c r="A87" i="20"/>
  <c r="A95" i="20"/>
  <c r="A96" i="20"/>
  <c r="A101" i="20"/>
  <c r="A102" i="20"/>
  <c r="A25" i="22" l="1"/>
  <c r="K21" i="20"/>
  <c r="J21" i="20"/>
  <c r="A26" i="22" l="1"/>
  <c r="L21" i="20"/>
  <c r="F19" i="22"/>
  <c r="F18" i="22"/>
  <c r="F17" i="22"/>
  <c r="A30" i="22" l="1"/>
  <c r="A27" i="22"/>
  <c r="F127" i="22"/>
  <c r="F120" i="22"/>
  <c r="F118" i="22"/>
  <c r="F101" i="22"/>
  <c r="F94" i="22"/>
  <c r="F85" i="22"/>
  <c r="F78" i="22"/>
  <c r="F70" i="22"/>
  <c r="F72" i="22"/>
  <c r="F73" i="22"/>
  <c r="H73" i="22" s="1"/>
  <c r="F62" i="22"/>
  <c r="J17" i="22"/>
  <c r="K17" i="22"/>
  <c r="J24" i="22"/>
  <c r="K24" i="22"/>
  <c r="J40" i="22"/>
  <c r="K40" i="22"/>
  <c r="J49" i="22"/>
  <c r="K49" i="22"/>
  <c r="J77" i="22"/>
  <c r="K77" i="22"/>
  <c r="J85" i="22"/>
  <c r="K85" i="22"/>
  <c r="J94" i="22"/>
  <c r="K94" i="22"/>
  <c r="J101" i="22"/>
  <c r="K101" i="22"/>
  <c r="J109" i="22"/>
  <c r="K109" i="22"/>
  <c r="J130" i="22"/>
  <c r="K130" i="22"/>
  <c r="J134" i="22"/>
  <c r="K134" i="22"/>
  <c r="J20" i="22"/>
  <c r="K20" i="22"/>
  <c r="J27" i="22"/>
  <c r="K27" i="22"/>
  <c r="J46" i="22"/>
  <c r="K46" i="22"/>
  <c r="J54" i="22"/>
  <c r="K54" i="22"/>
  <c r="J80" i="22"/>
  <c r="K80" i="22"/>
  <c r="J89" i="22"/>
  <c r="K89" i="22"/>
  <c r="J69" i="22"/>
  <c r="K69" i="22"/>
  <c r="J81" i="22"/>
  <c r="K81" i="22"/>
  <c r="J50" i="22"/>
  <c r="K50" i="22"/>
  <c r="J135" i="22"/>
  <c r="K135" i="22"/>
  <c r="J124" i="22"/>
  <c r="K124" i="22"/>
  <c r="J131" i="22"/>
  <c r="K131" i="22"/>
  <c r="J64" i="22"/>
  <c r="K64" i="22"/>
  <c r="J72" i="22"/>
  <c r="K72" i="22"/>
  <c r="J120" i="22"/>
  <c r="K120" i="22"/>
  <c r="J127" i="22"/>
  <c r="K127" i="22"/>
  <c r="J63" i="22"/>
  <c r="K63" i="22"/>
  <c r="J71" i="22"/>
  <c r="K71" i="22"/>
  <c r="J119" i="22"/>
  <c r="K119" i="22"/>
  <c r="J126" i="22"/>
  <c r="K126" i="22"/>
  <c r="J42" i="22"/>
  <c r="K42" i="22"/>
  <c r="J43" i="22"/>
  <c r="K43" i="22"/>
  <c r="J51" i="22"/>
  <c r="K51" i="22"/>
  <c r="J52" i="22"/>
  <c r="K52" i="22"/>
  <c r="J60" i="22"/>
  <c r="K60" i="22"/>
  <c r="J68" i="22"/>
  <c r="K68" i="22"/>
  <c r="J73" i="22"/>
  <c r="K73" i="22"/>
  <c r="J86" i="22"/>
  <c r="K86" i="22"/>
  <c r="J95" i="22"/>
  <c r="K95" i="22"/>
  <c r="J96" i="22"/>
  <c r="K96" i="22"/>
  <c r="J102" i="22"/>
  <c r="K102" i="22"/>
  <c r="J103" i="22"/>
  <c r="K103" i="22"/>
  <c r="J110" i="22"/>
  <c r="K110" i="22"/>
  <c r="J111" i="22"/>
  <c r="K111" i="22"/>
  <c r="J118" i="22"/>
  <c r="K118" i="22"/>
  <c r="J125" i="22"/>
  <c r="K125" i="22"/>
  <c r="J136" i="22"/>
  <c r="K136" i="22"/>
  <c r="J70" i="22"/>
  <c r="K70" i="22"/>
  <c r="A8" i="20"/>
  <c r="A9" i="20"/>
  <c r="A108" i="20"/>
  <c r="A109" i="20"/>
  <c r="A143" i="22"/>
  <c r="A144" i="22"/>
  <c r="A7" i="22"/>
  <c r="A8" i="22"/>
  <c r="A9" i="22"/>
  <c r="L142" i="22"/>
  <c r="H142" i="22"/>
  <c r="L139" i="22"/>
  <c r="H139" i="22"/>
  <c r="F136" i="22"/>
  <c r="H136" i="22" s="1"/>
  <c r="H135" i="22"/>
  <c r="F134" i="22"/>
  <c r="H134" i="22" s="1"/>
  <c r="F131" i="22"/>
  <c r="H131" i="22" s="1"/>
  <c r="F130" i="22"/>
  <c r="H130" i="22" s="1"/>
  <c r="H127" i="22"/>
  <c r="F125" i="22"/>
  <c r="F126" i="22" s="1"/>
  <c r="H126" i="22" s="1"/>
  <c r="H124" i="22"/>
  <c r="H123" i="22"/>
  <c r="D123" i="22" s="1"/>
  <c r="H120" i="22"/>
  <c r="H118" i="22"/>
  <c r="K117" i="22"/>
  <c r="J117" i="22"/>
  <c r="H117" i="22"/>
  <c r="H116" i="22"/>
  <c r="D116" i="22" s="1"/>
  <c r="L113" i="22"/>
  <c r="H113" i="22"/>
  <c r="K112" i="22"/>
  <c r="J112" i="22"/>
  <c r="F111" i="22"/>
  <c r="H111" i="22" s="1"/>
  <c r="F110" i="22"/>
  <c r="H110" i="22" s="1"/>
  <c r="F109" i="22"/>
  <c r="F112" i="22" s="1"/>
  <c r="H112" i="22" s="1"/>
  <c r="L105" i="22"/>
  <c r="H105" i="22"/>
  <c r="K104" i="22"/>
  <c r="J104" i="22"/>
  <c r="F103" i="22"/>
  <c r="H103" i="22" s="1"/>
  <c r="F102" i="22"/>
  <c r="H102" i="22" s="1"/>
  <c r="F104" i="22"/>
  <c r="H104" i="22" s="1"/>
  <c r="F97" i="22"/>
  <c r="H97" i="22" s="1"/>
  <c r="F96" i="22"/>
  <c r="H96" i="22" s="1"/>
  <c r="F95" i="22"/>
  <c r="H95" i="22" s="1"/>
  <c r="H94" i="22"/>
  <c r="L90" i="22"/>
  <c r="H90" i="22"/>
  <c r="K88" i="22"/>
  <c r="J88" i="22"/>
  <c r="F88" i="22"/>
  <c r="H88" i="22" s="1"/>
  <c r="F87" i="22"/>
  <c r="H87" i="22" s="1"/>
  <c r="F86" i="22"/>
  <c r="H86" i="22" s="1"/>
  <c r="H85" i="22"/>
  <c r="F81" i="22"/>
  <c r="H81" i="22" s="1"/>
  <c r="K79" i="22"/>
  <c r="J79" i="22"/>
  <c r="F79" i="22"/>
  <c r="H79" i="22" s="1"/>
  <c r="K78" i="22"/>
  <c r="J78" i="22"/>
  <c r="H78" i="22"/>
  <c r="F77" i="22"/>
  <c r="H77" i="22" s="1"/>
  <c r="H72" i="22"/>
  <c r="F68" i="22"/>
  <c r="H67" i="22"/>
  <c r="H66" i="22"/>
  <c r="F64" i="22"/>
  <c r="H64" i="22" s="1"/>
  <c r="F60" i="22"/>
  <c r="F63" i="22" s="1"/>
  <c r="H63" i="22" s="1"/>
  <c r="L59" i="22"/>
  <c r="H59" i="22"/>
  <c r="H58" i="22"/>
  <c r="K53" i="22"/>
  <c r="J53" i="22"/>
  <c r="F53" i="22"/>
  <c r="H53" i="22" s="1"/>
  <c r="F52" i="22"/>
  <c r="H52" i="22" s="1"/>
  <c r="F51" i="22"/>
  <c r="H51" i="22" s="1"/>
  <c r="F50" i="22"/>
  <c r="H50" i="22" s="1"/>
  <c r="F49" i="22"/>
  <c r="H49" i="22" s="1"/>
  <c r="K45" i="22"/>
  <c r="J45" i="22"/>
  <c r="F45" i="22"/>
  <c r="F44" i="22"/>
  <c r="H44" i="22" s="1"/>
  <c r="F43" i="22"/>
  <c r="H43" i="22" s="1"/>
  <c r="F42" i="22"/>
  <c r="H42" i="22" s="1"/>
  <c r="F41" i="22"/>
  <c r="H41" i="22" s="1"/>
  <c r="F40" i="22"/>
  <c r="H40" i="22" s="1"/>
  <c r="L36" i="22"/>
  <c r="F36" i="22"/>
  <c r="H36" i="22" s="1"/>
  <c r="L32" i="22"/>
  <c r="F31" i="22"/>
  <c r="F33" i="22" s="1"/>
  <c r="H33" i="22" s="1"/>
  <c r="F30" i="22"/>
  <c r="F32" i="22" s="1"/>
  <c r="H32" i="22" s="1"/>
  <c r="K26" i="22"/>
  <c r="J26" i="22"/>
  <c r="F26" i="22"/>
  <c r="K25" i="22"/>
  <c r="J25" i="22"/>
  <c r="F25" i="22"/>
  <c r="H25" i="22" s="1"/>
  <c r="F24" i="22"/>
  <c r="H24" i="22" s="1"/>
  <c r="K19" i="22"/>
  <c r="J19" i="22"/>
  <c r="K18" i="22"/>
  <c r="J18" i="22"/>
  <c r="H18" i="22"/>
  <c r="H17" i="22"/>
  <c r="L12" i="22"/>
  <c r="F12" i="22"/>
  <c r="H12" i="22" s="1"/>
  <c r="L11" i="22"/>
  <c r="F11" i="22"/>
  <c r="H11" i="22" s="1"/>
  <c r="L10" i="22"/>
  <c r="F10" i="22"/>
  <c r="H10" i="22" s="1"/>
  <c r="J65" i="20"/>
  <c r="K65" i="20"/>
  <c r="J71" i="20"/>
  <c r="K71" i="20"/>
  <c r="J76" i="20"/>
  <c r="K76" i="20"/>
  <c r="J19" i="20"/>
  <c r="K19" i="20"/>
  <c r="J26" i="20"/>
  <c r="K26" i="20"/>
  <c r="J33" i="20"/>
  <c r="K33" i="20"/>
  <c r="J40" i="20"/>
  <c r="K40" i="20"/>
  <c r="J47" i="20"/>
  <c r="K47" i="20"/>
  <c r="J104" i="20"/>
  <c r="K104" i="20"/>
  <c r="J92" i="20"/>
  <c r="K92" i="20"/>
  <c r="J90" i="20"/>
  <c r="K90" i="20"/>
  <c r="J94" i="20"/>
  <c r="K94" i="20"/>
  <c r="J93" i="20"/>
  <c r="K93" i="20"/>
  <c r="J98" i="20"/>
  <c r="K98" i="20"/>
  <c r="J18" i="20"/>
  <c r="K18" i="20"/>
  <c r="J25" i="20"/>
  <c r="K25" i="20"/>
  <c r="J32" i="20"/>
  <c r="K32" i="20"/>
  <c r="J39" i="20"/>
  <c r="K39" i="20"/>
  <c r="J46" i="20"/>
  <c r="K46" i="20"/>
  <c r="J57" i="20"/>
  <c r="K57" i="20"/>
  <c r="J58" i="20"/>
  <c r="K58" i="20"/>
  <c r="J63" i="20"/>
  <c r="K63" i="20"/>
  <c r="J64" i="20"/>
  <c r="K64" i="20"/>
  <c r="J69" i="20"/>
  <c r="K69" i="20"/>
  <c r="J70" i="20"/>
  <c r="K70" i="20"/>
  <c r="J75" i="20"/>
  <c r="K75" i="20"/>
  <c r="J99" i="20"/>
  <c r="K99" i="20"/>
  <c r="J100" i="20"/>
  <c r="K100" i="20"/>
  <c r="J105" i="20"/>
  <c r="K105" i="20"/>
  <c r="J17" i="20"/>
  <c r="K17" i="20"/>
  <c r="J24" i="20"/>
  <c r="K24" i="20"/>
  <c r="J31" i="20"/>
  <c r="K31" i="20"/>
  <c r="J38" i="20"/>
  <c r="K38" i="20"/>
  <c r="J45" i="20"/>
  <c r="K45" i="20"/>
  <c r="J56" i="20"/>
  <c r="K56" i="20"/>
  <c r="J62" i="20"/>
  <c r="K62" i="20"/>
  <c r="J68" i="20"/>
  <c r="K68" i="20"/>
  <c r="J74" i="20"/>
  <c r="K74" i="20"/>
  <c r="J97" i="20"/>
  <c r="K97" i="20"/>
  <c r="J103" i="20"/>
  <c r="K103" i="20"/>
  <c r="J28" i="20"/>
  <c r="K28" i="20"/>
  <c r="J35" i="20"/>
  <c r="K35" i="20"/>
  <c r="J42" i="20"/>
  <c r="K42" i="20"/>
  <c r="J49" i="20"/>
  <c r="K49" i="20"/>
  <c r="J107" i="20"/>
  <c r="K107" i="20"/>
  <c r="J91" i="20"/>
  <c r="K91" i="20"/>
  <c r="J20" i="20"/>
  <c r="K20" i="20"/>
  <c r="J27" i="20"/>
  <c r="K27" i="20"/>
  <c r="J34" i="20"/>
  <c r="K34" i="20"/>
  <c r="J41" i="20"/>
  <c r="K41" i="20"/>
  <c r="J48" i="20"/>
  <c r="K48" i="20"/>
  <c r="J106" i="20"/>
  <c r="K106" i="20"/>
  <c r="A31" i="22" l="1"/>
  <c r="A32" i="22"/>
  <c r="A33" i="22" s="1"/>
  <c r="A36" i="22" s="1"/>
  <c r="A40" i="22" s="1"/>
  <c r="A41" i="22" s="1"/>
  <c r="A42" i="22" s="1"/>
  <c r="A43" i="22" s="1"/>
  <c r="A44" i="22" s="1"/>
  <c r="A45" i="22" s="1"/>
  <c r="A46" i="22" s="1"/>
  <c r="A49" i="22" s="1"/>
  <c r="A50" i="22" s="1"/>
  <c r="A51" i="22" s="1"/>
  <c r="L134" i="22"/>
  <c r="F71" i="22"/>
  <c r="H71" i="22" s="1"/>
  <c r="L63" i="22"/>
  <c r="M63" i="22" s="1"/>
  <c r="L124" i="22"/>
  <c r="M124" i="22" s="1"/>
  <c r="L127" i="22"/>
  <c r="M127" i="22" s="1"/>
  <c r="L60" i="22"/>
  <c r="L26" i="22"/>
  <c r="M10" i="22"/>
  <c r="L43" i="22"/>
  <c r="M43" i="22" s="1"/>
  <c r="M90" i="22"/>
  <c r="L19" i="22"/>
  <c r="L51" i="22"/>
  <c r="M51" i="22" s="1"/>
  <c r="L17" i="22"/>
  <c r="M17" i="22" s="1"/>
  <c r="L18" i="22"/>
  <c r="M18" i="22" s="1"/>
  <c r="L24" i="22"/>
  <c r="M24" i="22" s="1"/>
  <c r="L73" i="22"/>
  <c r="M73" i="22" s="1"/>
  <c r="L77" i="22"/>
  <c r="M77" i="22" s="1"/>
  <c r="L80" i="22"/>
  <c r="L87" i="22"/>
  <c r="M87" i="22" s="1"/>
  <c r="L96" i="22"/>
  <c r="M96" i="22" s="1"/>
  <c r="L103" i="22"/>
  <c r="M103" i="22" s="1"/>
  <c r="L118" i="22"/>
  <c r="M118" i="22" s="1"/>
  <c r="L136" i="22"/>
  <c r="M136" i="22" s="1"/>
  <c r="M11" i="22"/>
  <c r="L46" i="22"/>
  <c r="L52" i="22"/>
  <c r="M52" i="22" s="1"/>
  <c r="L54" i="22"/>
  <c r="A10" i="22"/>
  <c r="A11" i="22" s="1"/>
  <c r="F20" i="22"/>
  <c r="H20" i="22" s="1"/>
  <c r="L40" i="22"/>
  <c r="M40" i="22" s="1"/>
  <c r="L44" i="22"/>
  <c r="M44" i="22" s="1"/>
  <c r="L49" i="22"/>
  <c r="M49" i="22" s="1"/>
  <c r="L53" i="22"/>
  <c r="M53" i="22" s="1"/>
  <c r="L78" i="22"/>
  <c r="M78" i="22" s="1"/>
  <c r="L131" i="22"/>
  <c r="M131" i="22" s="1"/>
  <c r="M12" i="22"/>
  <c r="M36" i="22"/>
  <c r="L42" i="22"/>
  <c r="M42" i="22" s="1"/>
  <c r="M59" i="22"/>
  <c r="L62" i="22"/>
  <c r="M142" i="22"/>
  <c r="L20" i="22"/>
  <c r="L31" i="22"/>
  <c r="L33" i="22"/>
  <c r="M33" i="22" s="1"/>
  <c r="L41" i="22"/>
  <c r="M41" i="22" s="1"/>
  <c r="L45" i="22"/>
  <c r="L50" i="22"/>
  <c r="M50" i="22" s="1"/>
  <c r="L64" i="22"/>
  <c r="M64" i="22" s="1"/>
  <c r="H68" i="22"/>
  <c r="L79" i="22"/>
  <c r="M79" i="22" s="1"/>
  <c r="L85" i="22"/>
  <c r="M85" i="22" s="1"/>
  <c r="L94" i="22"/>
  <c r="M94" i="22" s="1"/>
  <c r="L101" i="22"/>
  <c r="L104" i="22"/>
  <c r="M104" i="22" s="1"/>
  <c r="L110" i="22"/>
  <c r="M110" i="22" s="1"/>
  <c r="M113" i="22"/>
  <c r="L119" i="22"/>
  <c r="L135" i="22"/>
  <c r="M135" i="22" s="1"/>
  <c r="F27" i="22"/>
  <c r="H27" i="22" s="1"/>
  <c r="L27" i="22"/>
  <c r="H30" i="22"/>
  <c r="L61" i="22"/>
  <c r="L69" i="22"/>
  <c r="L71" i="22"/>
  <c r="L72" i="22"/>
  <c r="M72" i="22" s="1"/>
  <c r="L81" i="22"/>
  <c r="M81" i="22" s="1"/>
  <c r="L88" i="22"/>
  <c r="M88" i="22" s="1"/>
  <c r="L97" i="22"/>
  <c r="M97" i="22" s="1"/>
  <c r="L109" i="22"/>
  <c r="L112" i="22"/>
  <c r="M112" i="22" s="1"/>
  <c r="L126" i="22"/>
  <c r="M126" i="22" s="1"/>
  <c r="M139" i="22"/>
  <c r="M32" i="22"/>
  <c r="F46" i="22"/>
  <c r="H46" i="22" s="1"/>
  <c r="M134" i="22"/>
  <c r="F54" i="22"/>
  <c r="H54" i="22" s="1"/>
  <c r="L13" i="22"/>
  <c r="L25" i="22"/>
  <c r="M25" i="22" s="1"/>
  <c r="H31" i="22"/>
  <c r="H45" i="22"/>
  <c r="L67" i="22"/>
  <c r="M67" i="22" s="1"/>
  <c r="L68" i="22"/>
  <c r="L70" i="22"/>
  <c r="L86" i="22"/>
  <c r="M86" i="22" s="1"/>
  <c r="L89" i="22"/>
  <c r="L95" i="22"/>
  <c r="M95" i="22" s="1"/>
  <c r="L102" i="22"/>
  <c r="M102" i="22" s="1"/>
  <c r="M105" i="22"/>
  <c r="L111" i="22"/>
  <c r="M111" i="22" s="1"/>
  <c r="L117" i="22"/>
  <c r="M117" i="22" s="1"/>
  <c r="L120" i="22"/>
  <c r="M120" i="22" s="1"/>
  <c r="L125" i="22"/>
  <c r="L130" i="22"/>
  <c r="M130" i="22" s="1"/>
  <c r="L66" i="22"/>
  <c r="M66" i="22" s="1"/>
  <c r="F80" i="22"/>
  <c r="H80" i="22" s="1"/>
  <c r="F89" i="22"/>
  <c r="H89" i="22" s="1"/>
  <c r="F119" i="22"/>
  <c r="H119" i="22" s="1"/>
  <c r="H125" i="22"/>
  <c r="H62" i="22"/>
  <c r="H19" i="22"/>
  <c r="H26" i="22"/>
  <c r="H60" i="22"/>
  <c r="M60" i="22" s="1"/>
  <c r="H70" i="22"/>
  <c r="H109" i="22"/>
  <c r="F13" i="22"/>
  <c r="H13" i="22" s="1"/>
  <c r="F61" i="22"/>
  <c r="H61" i="22" s="1"/>
  <c r="H101" i="22"/>
  <c r="F69" i="22"/>
  <c r="H69" i="22" s="1"/>
  <c r="A52" i="22" l="1"/>
  <c r="A53" i="22" s="1"/>
  <c r="A54" i="22" s="1"/>
  <c r="A58" i="22" s="1"/>
  <c r="M71" i="22"/>
  <c r="M31" i="22"/>
  <c r="M26" i="22"/>
  <c r="M13" i="22"/>
  <c r="M68" i="22"/>
  <c r="M20" i="22"/>
  <c r="M62" i="22"/>
  <c r="M80" i="22"/>
  <c r="M89" i="22"/>
  <c r="M54" i="22"/>
  <c r="M70" i="22"/>
  <c r="M19" i="22"/>
  <c r="M45" i="22"/>
  <c r="M46" i="22"/>
  <c r="M27" i="22"/>
  <c r="M101" i="22"/>
  <c r="M119" i="22"/>
  <c r="M69" i="22"/>
  <c r="M61" i="22"/>
  <c r="M125" i="22"/>
  <c r="L30" i="22"/>
  <c r="M30" i="22" s="1"/>
  <c r="M109" i="22"/>
  <c r="L116" i="22"/>
  <c r="M116" i="22" s="1"/>
  <c r="L58" i="22"/>
  <c r="M58" i="22" s="1"/>
  <c r="L123" i="22"/>
  <c r="M123" i="22" s="1"/>
  <c r="A59" i="22" l="1"/>
  <c r="N144" i="22"/>
  <c r="M147" i="22"/>
  <c r="A60" i="22" l="1"/>
  <c r="A61" i="22" s="1"/>
  <c r="A62" i="22" s="1"/>
  <c r="A63" i="22" s="1"/>
  <c r="A64" i="22" s="1"/>
  <c r="A66" i="22" s="1"/>
  <c r="A67" i="22" s="1"/>
  <c r="A68" i="22" s="1"/>
  <c r="A69" i="22" s="1"/>
  <c r="A70" i="22" s="1"/>
  <c r="A71" i="22" s="1"/>
  <c r="A72" i="22" s="1"/>
  <c r="A73" i="22" s="1"/>
  <c r="A77" i="22" s="1"/>
  <c r="A78" i="22" s="1"/>
  <c r="A79" i="22" s="1"/>
  <c r="A80" i="22" s="1"/>
  <c r="A81" i="22" s="1"/>
  <c r="A85" i="22" s="1"/>
  <c r="A86" i="22" s="1"/>
  <c r="A87" i="22" s="1"/>
  <c r="A88" i="22" s="1"/>
  <c r="A89" i="22" s="1"/>
  <c r="A90" i="22" s="1"/>
  <c r="A94" i="22" s="1"/>
  <c r="A95" i="22" s="1"/>
  <c r="A96" i="22" s="1"/>
  <c r="A97" i="22" s="1"/>
  <c r="A101" i="22" s="1"/>
  <c r="A102" i="22" s="1"/>
  <c r="A103" i="22" s="1"/>
  <c r="A104" i="22" s="1"/>
  <c r="A105" i="22" s="1"/>
  <c r="A109" i="22" s="1"/>
  <c r="A110" i="22" s="1"/>
  <c r="A111" i="22" s="1"/>
  <c r="A112" i="22" s="1"/>
  <c r="A113" i="22" s="1"/>
  <c r="A116" i="22" s="1"/>
  <c r="A117" i="22" s="1"/>
  <c r="A118" i="22" s="1"/>
  <c r="A119" i="22" s="1"/>
  <c r="A120" i="22" s="1"/>
  <c r="A123" i="22" s="1"/>
  <c r="A124" i="22" s="1"/>
  <c r="A125" i="22" s="1"/>
  <c r="A126" i="22" s="1"/>
  <c r="A127" i="22" s="1"/>
  <c r="A130" i="22" s="1"/>
  <c r="A131" i="22" s="1"/>
  <c r="A134" i="22" s="1"/>
  <c r="A135" i="22" s="1"/>
  <c r="A136" i="22" s="1"/>
  <c r="A139" i="22" s="1"/>
  <c r="A142" i="22" s="1"/>
  <c r="F106" i="20"/>
  <c r="F105" i="20"/>
  <c r="H105" i="20" s="1"/>
  <c r="F104" i="20"/>
  <c r="H104" i="20" s="1"/>
  <c r="F103" i="20"/>
  <c r="F20" i="20"/>
  <c r="F18" i="20"/>
  <c r="F19" i="20"/>
  <c r="F17" i="20"/>
  <c r="L14" i="20"/>
  <c r="L13" i="20"/>
  <c r="F13" i="20"/>
  <c r="L12" i="20"/>
  <c r="F12" i="20"/>
  <c r="L11" i="20"/>
  <c r="F11" i="20"/>
  <c r="L10" i="20"/>
  <c r="F10" i="20"/>
  <c r="F100" i="20"/>
  <c r="H100" i="20" s="1"/>
  <c r="L100" i="20"/>
  <c r="F99" i="20"/>
  <c r="H99" i="20" s="1"/>
  <c r="F97" i="20"/>
  <c r="H97" i="20" s="1"/>
  <c r="L99" i="20"/>
  <c r="L107" i="20"/>
  <c r="L106" i="20"/>
  <c r="H106" i="20"/>
  <c r="L105" i="20"/>
  <c r="L104" i="20"/>
  <c r="L103" i="20"/>
  <c r="L97" i="20"/>
  <c r="H98" i="20"/>
  <c r="L98" i="20"/>
  <c r="L86" i="20"/>
  <c r="F86" i="20"/>
  <c r="H86" i="20" s="1"/>
  <c r="L85" i="20"/>
  <c r="L84" i="20"/>
  <c r="L83" i="20"/>
  <c r="L82" i="20"/>
  <c r="F82" i="20"/>
  <c r="F85" i="20" s="1"/>
  <c r="H85" i="20" s="1"/>
  <c r="L81" i="20"/>
  <c r="H81" i="20"/>
  <c r="H80" i="20"/>
  <c r="D80" i="20" s="1"/>
  <c r="F94" i="20"/>
  <c r="H94" i="20" s="1"/>
  <c r="F90" i="20"/>
  <c r="F92" i="20" s="1"/>
  <c r="L93" i="20"/>
  <c r="L94" i="20"/>
  <c r="F76" i="20"/>
  <c r="F75" i="20"/>
  <c r="F74" i="20"/>
  <c r="F71" i="20"/>
  <c r="H71" i="20" s="1"/>
  <c r="F70" i="20"/>
  <c r="H70" i="20" s="1"/>
  <c r="F69" i="20"/>
  <c r="H69" i="20" s="1"/>
  <c r="F68" i="20"/>
  <c r="H68" i="20" s="1"/>
  <c r="L70" i="20"/>
  <c r="F65" i="20"/>
  <c r="H65" i="20" s="1"/>
  <c r="F64" i="20"/>
  <c r="H64" i="20" s="1"/>
  <c r="F63" i="20"/>
  <c r="H63" i="20" s="1"/>
  <c r="F57" i="20"/>
  <c r="H57" i="20" s="1"/>
  <c r="F62" i="20"/>
  <c r="H62" i="20" s="1"/>
  <c r="L64" i="20"/>
  <c r="F59" i="20"/>
  <c r="H59" i="20" s="1"/>
  <c r="F58" i="20"/>
  <c r="H58" i="20" s="1"/>
  <c r="F56" i="20"/>
  <c r="H56" i="20" s="1"/>
  <c r="L58" i="20"/>
  <c r="L71" i="20"/>
  <c r="L69" i="20"/>
  <c r="L68" i="20"/>
  <c r="L65" i="20"/>
  <c r="L63" i="20"/>
  <c r="L62" i="20"/>
  <c r="L59" i="20"/>
  <c r="L57" i="20"/>
  <c r="L56" i="20"/>
  <c r="H52" i="20"/>
  <c r="L52" i="20"/>
  <c r="F41" i="20"/>
  <c r="F39" i="20"/>
  <c r="H39" i="20" s="1"/>
  <c r="F40" i="20"/>
  <c r="H40" i="20" s="1"/>
  <c r="F38" i="20"/>
  <c r="H38" i="20" s="1"/>
  <c r="F48" i="20"/>
  <c r="F47" i="20"/>
  <c r="H47" i="20" s="1"/>
  <c r="F46" i="20"/>
  <c r="H46" i="20" s="1"/>
  <c r="F45" i="20"/>
  <c r="H45" i="20" s="1"/>
  <c r="F34" i="20"/>
  <c r="H34" i="20" s="1"/>
  <c r="F33" i="20"/>
  <c r="H33" i="20" s="1"/>
  <c r="F32" i="20"/>
  <c r="F31" i="20"/>
  <c r="H31" i="20" s="1"/>
  <c r="F27" i="20"/>
  <c r="H27" i="20" s="1"/>
  <c r="F26" i="20"/>
  <c r="F25" i="20"/>
  <c r="F24" i="20"/>
  <c r="L42" i="20"/>
  <c r="L41" i="20"/>
  <c r="L40" i="20"/>
  <c r="L39" i="20"/>
  <c r="L38" i="20"/>
  <c r="L49" i="20"/>
  <c r="L48" i="20"/>
  <c r="L47" i="20"/>
  <c r="L46" i="20"/>
  <c r="L45" i="20"/>
  <c r="L35" i="20"/>
  <c r="L34" i="20"/>
  <c r="L33" i="20"/>
  <c r="L32" i="20"/>
  <c r="H32" i="20"/>
  <c r="L31" i="20"/>
  <c r="L28" i="20"/>
  <c r="L27" i="20"/>
  <c r="L26" i="20"/>
  <c r="L25" i="20"/>
  <c r="L24" i="20"/>
  <c r="F21" i="20" l="1"/>
  <c r="H103" i="20"/>
  <c r="H26" i="20"/>
  <c r="M26" i="20" s="1"/>
  <c r="H25" i="20"/>
  <c r="H11" i="20"/>
  <c r="H13" i="20"/>
  <c r="H10" i="20"/>
  <c r="H12" i="20"/>
  <c r="M12" i="20" s="1"/>
  <c r="M11" i="20"/>
  <c r="M105" i="20"/>
  <c r="F107" i="20"/>
  <c r="H107" i="20" s="1"/>
  <c r="M107" i="20" s="1"/>
  <c r="F91" i="20"/>
  <c r="H91" i="20" s="1"/>
  <c r="M13" i="20"/>
  <c r="M10" i="20"/>
  <c r="F14" i="20"/>
  <c r="M106" i="20"/>
  <c r="M100" i="20"/>
  <c r="M104" i="20"/>
  <c r="M97" i="20"/>
  <c r="M103" i="20"/>
  <c r="M99" i="20"/>
  <c r="F93" i="20"/>
  <c r="H93" i="20" s="1"/>
  <c r="M93" i="20" s="1"/>
  <c r="M98" i="20"/>
  <c r="M94" i="20"/>
  <c r="M81" i="20"/>
  <c r="M86" i="20"/>
  <c r="H82" i="20"/>
  <c r="M82" i="20" s="1"/>
  <c r="M85" i="20"/>
  <c r="F83" i="20"/>
  <c r="H83" i="20" s="1"/>
  <c r="M83" i="20" s="1"/>
  <c r="F84" i="20"/>
  <c r="H84" i="20" s="1"/>
  <c r="M84" i="20" s="1"/>
  <c r="M56" i="20"/>
  <c r="M68" i="20"/>
  <c r="M58" i="20"/>
  <c r="M64" i="20"/>
  <c r="M62" i="20"/>
  <c r="M63" i="20"/>
  <c r="F49" i="20"/>
  <c r="H49" i="20" s="1"/>
  <c r="M49" i="20" s="1"/>
  <c r="F42" i="20"/>
  <c r="H42" i="20" s="1"/>
  <c r="M42" i="20" s="1"/>
  <c r="M71" i="20"/>
  <c r="M70" i="20"/>
  <c r="M69" i="20"/>
  <c r="M65" i="20"/>
  <c r="M59" i="20"/>
  <c r="M57" i="20"/>
  <c r="M33" i="20"/>
  <c r="F28" i="20"/>
  <c r="H28" i="20" s="1"/>
  <c r="M28" i="20" s="1"/>
  <c r="H24" i="20"/>
  <c r="M24" i="20" s="1"/>
  <c r="H48" i="20"/>
  <c r="M48" i="20" s="1"/>
  <c r="M40" i="20"/>
  <c r="H41" i="20"/>
  <c r="M41" i="20" s="1"/>
  <c r="M47" i="20"/>
  <c r="M39" i="20"/>
  <c r="F35" i="20"/>
  <c r="H35" i="20" s="1"/>
  <c r="M35" i="20" s="1"/>
  <c r="M52" i="20"/>
  <c r="M38" i="20"/>
  <c r="M46" i="20"/>
  <c r="M45" i="20"/>
  <c r="M34" i="20"/>
  <c r="M32" i="20"/>
  <c r="M31" i="20"/>
  <c r="M27" i="20"/>
  <c r="M25" i="20"/>
  <c r="L20" i="20"/>
  <c r="H20" i="20"/>
  <c r="L19" i="20"/>
  <c r="H19" i="20"/>
  <c r="L18" i="20"/>
  <c r="H18" i="20"/>
  <c r="L17" i="20"/>
  <c r="H17" i="20"/>
  <c r="L76" i="20"/>
  <c r="H76" i="20"/>
  <c r="L75" i="20"/>
  <c r="H75" i="20"/>
  <c r="L74" i="20"/>
  <c r="H74" i="20"/>
  <c r="L92" i="20"/>
  <c r="H92" i="20"/>
  <c r="L91" i="20"/>
  <c r="L90" i="20"/>
  <c r="H90" i="20"/>
  <c r="L89" i="20"/>
  <c r="H89" i="20"/>
  <c r="H88" i="20"/>
  <c r="D88" i="20" s="1"/>
  <c r="H21" i="20" l="1"/>
  <c r="M21" i="20" s="1"/>
  <c r="H14" i="20"/>
  <c r="M14" i="20" s="1"/>
  <c r="L80" i="20"/>
  <c r="M80" i="20" s="1"/>
  <c r="M91" i="20"/>
  <c r="M18" i="20"/>
  <c r="M92" i="20"/>
  <c r="M76" i="20"/>
  <c r="M19" i="20"/>
  <c r="M75" i="20"/>
  <c r="M17" i="20"/>
  <c r="M20" i="20"/>
  <c r="M89" i="20"/>
  <c r="M90" i="20"/>
  <c r="M74" i="20"/>
  <c r="A145" i="22"/>
  <c r="L88" i="20" l="1"/>
  <c r="M88" i="20" s="1"/>
  <c r="N109" i="20" s="1"/>
  <c r="A7" i="20" l="1"/>
  <c r="A10" i="20" l="1"/>
  <c r="A11" i="20" l="1"/>
  <c r="A146" i="22"/>
  <c r="A12" i="20" l="1"/>
  <c r="A13" i="20" s="1"/>
  <c r="N147" i="22"/>
  <c r="A14" i="20" l="1"/>
  <c r="A17" i="20" s="1"/>
  <c r="A18" i="20" s="1"/>
  <c r="A19" i="20"/>
  <c r="A20" i="20" s="1"/>
  <c r="A21" i="20" s="1"/>
  <c r="A24" i="20" s="1"/>
  <c r="A25" i="20" s="1"/>
  <c r="A26" i="20" s="1"/>
  <c r="A27" i="20" s="1"/>
  <c r="A28" i="20" s="1"/>
  <c r="A31" i="20" s="1"/>
  <c r="A32" i="20" s="1"/>
  <c r="A33" i="20" s="1"/>
  <c r="A34" i="20" s="1"/>
  <c r="A35" i="20" s="1"/>
  <c r="A38" i="20" s="1"/>
  <c r="A39" i="20" s="1"/>
  <c r="A40" i="20" s="1"/>
  <c r="A41" i="20" s="1"/>
  <c r="A42" i="20" s="1"/>
  <c r="A45" i="20" s="1"/>
  <c r="A46" i="20" s="1"/>
  <c r="A47" i="20" s="1"/>
  <c r="A48" i="20" s="1"/>
  <c r="A49" i="20" s="1"/>
  <c r="A52" i="20" s="1"/>
  <c r="A56" i="20" s="1"/>
  <c r="A57" i="20" s="1"/>
  <c r="A58" i="20" s="1"/>
  <c r="A59" i="20" s="1"/>
  <c r="A62" i="20" s="1"/>
  <c r="A63" i="20" s="1"/>
  <c r="A64" i="20" s="1"/>
  <c r="A65" i="20" s="1"/>
  <c r="A68" i="20" s="1"/>
  <c r="A69" i="20" s="1"/>
  <c r="A70" i="20" s="1"/>
  <c r="A71" i="20" s="1"/>
  <c r="A74" i="20" s="1"/>
  <c r="A75" i="20" s="1"/>
  <c r="A76" i="20" s="1"/>
  <c r="A80" i="20" s="1"/>
  <c r="A81" i="20" s="1"/>
  <c r="A82" i="20" s="1"/>
  <c r="A83" i="20" s="1"/>
  <c r="A84" i="20" s="1"/>
  <c r="A85" i="20" s="1"/>
  <c r="A86" i="20" s="1"/>
  <c r="A88" i="20" s="1"/>
  <c r="A89" i="20" s="1"/>
  <c r="A90" i="20" s="1"/>
  <c r="A91" i="20" s="1"/>
  <c r="A92" i="20" s="1"/>
  <c r="A93" i="20" s="1"/>
  <c r="A94" i="20" s="1"/>
  <c r="A97" i="20" s="1"/>
  <c r="A98" i="20" s="1"/>
  <c r="A99" i="20" s="1"/>
  <c r="A100" i="20" s="1"/>
  <c r="A103" i="20" s="1"/>
  <c r="A104" i="20" s="1"/>
  <c r="A105" i="20" s="1"/>
  <c r="A106" i="20" s="1"/>
  <c r="A107" i="20" s="1"/>
  <c r="N149" i="22"/>
  <c r="N148" i="22"/>
  <c r="N150" i="22" l="1"/>
  <c r="C5" i="22" s="1"/>
  <c r="D20" i="21" s="1"/>
  <c r="D23" i="21" s="1"/>
  <c r="D11" i="21" l="1"/>
  <c r="M111" i="20" l="1"/>
  <c r="N111" i="20"/>
  <c r="N113" i="20" l="1"/>
  <c r="N112" i="20"/>
  <c r="N114" i="20" l="1"/>
  <c r="C5" i="20" s="1"/>
  <c r="D14" i="21" s="1"/>
  <c r="D17" i="21" s="1"/>
</calcChain>
</file>

<file path=xl/sharedStrings.xml><?xml version="1.0" encoding="utf-8"?>
<sst xmlns="http://schemas.openxmlformats.org/spreadsheetml/2006/main" count="748" uniqueCount="165">
  <si>
    <t>UNIT</t>
  </si>
  <si>
    <t>DESCRIPTION</t>
  </si>
  <si>
    <t>WASTE</t>
  </si>
  <si>
    <t>QTY. W/ WASTE</t>
  </si>
  <si>
    <t>TOTAL COST</t>
  </si>
  <si>
    <t>PROJECT</t>
  </si>
  <si>
    <t>ADDRESS</t>
  </si>
  <si>
    <t>Date of submission</t>
  </si>
  <si>
    <t>Date of plans</t>
  </si>
  <si>
    <t>SR #</t>
  </si>
  <si>
    <t>SUB TOTALS</t>
  </si>
  <si>
    <t>SUB - TOTAL</t>
  </si>
  <si>
    <t>Sheet
No.</t>
  </si>
  <si>
    <t>Detail
No.</t>
  </si>
  <si>
    <t>CSI
No.</t>
  </si>
  <si>
    <t>03 00 00</t>
  </si>
  <si>
    <t>CONCRETE</t>
  </si>
  <si>
    <t>CY</t>
  </si>
  <si>
    <t>LB</t>
  </si>
  <si>
    <t>SFCA</t>
  </si>
  <si>
    <t>Backfill</t>
  </si>
  <si>
    <t>QTY.</t>
  </si>
  <si>
    <t xml:space="preserve"> Concrete Sub Total</t>
  </si>
  <si>
    <t xml:space="preserve"> </t>
  </si>
  <si>
    <t>OVERHEAD &amp; PROFIT</t>
  </si>
  <si>
    <t>TOTAL UNIT COST</t>
  </si>
  <si>
    <t>UNIT COST
(Material)</t>
  </si>
  <si>
    <t xml:space="preserve">UNIT COST
(Labor) </t>
  </si>
  <si>
    <t>Supervision &amp; Inspection</t>
  </si>
  <si>
    <t>Permits &amp; Bonds</t>
  </si>
  <si>
    <t>Coordinated Installations</t>
  </si>
  <si>
    <t>Next Tab For Detailed Estimate</t>
  </si>
  <si>
    <t>Mobilization &amp; General Conditions</t>
  </si>
  <si>
    <t>TOTAL BUILDINGS CONCRETE</t>
  </si>
  <si>
    <t>TOTAL GENERAL CONDITIONS AND REQUIREMENTS</t>
  </si>
  <si>
    <t>Excavation Using Hydraulic Backhoe 1/2 C.Y.</t>
  </si>
  <si>
    <t>CONTINGENCY &amp; ESCALATION</t>
  </si>
  <si>
    <t>BUILDING CONCRETE</t>
  </si>
  <si>
    <t xml:space="preserve">Site Concrete </t>
  </si>
  <si>
    <t>Exclusions</t>
  </si>
  <si>
    <t>Curbs &amp; Gutter</t>
  </si>
  <si>
    <t>TOTAL SITE CONCRETE</t>
  </si>
  <si>
    <t>SITE CONCRETE</t>
  </si>
  <si>
    <t xml:space="preserve">TOTAL BUILDING CONCRETE </t>
  </si>
  <si>
    <t>A10</t>
  </si>
  <si>
    <t>S9.0</t>
  </si>
  <si>
    <t>GATE POST FOOTING</t>
  </si>
  <si>
    <t>Plan</t>
  </si>
  <si>
    <t>CONCRETE SIDEWALK</t>
  </si>
  <si>
    <t>4" Edge form</t>
  </si>
  <si>
    <t>C1.0</t>
  </si>
  <si>
    <t>D2.0</t>
  </si>
  <si>
    <t>SF</t>
  </si>
  <si>
    <t>LF</t>
  </si>
  <si>
    <t>STAMPED FINISH</t>
  </si>
  <si>
    <t>PAD FOOTING</t>
  </si>
  <si>
    <t>S2.0</t>
  </si>
  <si>
    <t>Plan sch</t>
  </si>
  <si>
    <t>7#7 EW TB</t>
  </si>
  <si>
    <t>Column diamonds</t>
  </si>
  <si>
    <t>EA</t>
  </si>
  <si>
    <t>CONCRETE PIER</t>
  </si>
  <si>
    <t>4#6 Hair pin</t>
  </si>
  <si>
    <t>6#5+8#5 Hair pin</t>
  </si>
  <si>
    <t>3#3 Dowels</t>
  </si>
  <si>
    <t>SLAB ON GRADE</t>
  </si>
  <si>
    <t>6" Thick slab on grade</t>
  </si>
  <si>
    <t>6" Edge form</t>
  </si>
  <si>
    <t>6,7/S5.0</t>
  </si>
  <si>
    <t>1#5 Cont</t>
  </si>
  <si>
    <t>2#4x4'</t>
  </si>
  <si>
    <t>TURN DOWN</t>
  </si>
  <si>
    <t>2#5 Cont</t>
  </si>
  <si>
    <t>10,11/S5.0</t>
  </si>
  <si>
    <t>6#7 EW TB</t>
  </si>
  <si>
    <t>TRASH ENCLOSURE WALL FOOTING</t>
  </si>
  <si>
    <t>4#5 Cont TB</t>
  </si>
  <si>
    <t>CMU dowels</t>
  </si>
  <si>
    <t>3,4,5/S9.0</t>
  </si>
  <si>
    <t>TRASH ENCLOSURE SLAB ON GRADE</t>
  </si>
  <si>
    <t>Assumed</t>
  </si>
  <si>
    <t>BOLLARD FOOTING</t>
  </si>
  <si>
    <t>D1.0</t>
  </si>
  <si>
    <t>6" Gravel</t>
  </si>
  <si>
    <t>CANOPY FOOTING</t>
  </si>
  <si>
    <t>CS2.0</t>
  </si>
  <si>
    <t>8#8 EW TB</t>
  </si>
  <si>
    <t>PIERS</t>
  </si>
  <si>
    <t>12 #6 Dowels</t>
  </si>
  <si>
    <t>LIGHT POLE FOOTING</t>
  </si>
  <si>
    <t>24" Dia x 5'-6" Sonotube</t>
  </si>
  <si>
    <t>S-1 R-3</t>
  </si>
  <si>
    <t>MONUMENT SIGN FOOTING</t>
  </si>
  <si>
    <t>Sht #2</t>
  </si>
  <si>
    <t>HEAVY DUTY CONCRETE PAVEMENT</t>
  </si>
  <si>
    <t>MISC PAD</t>
  </si>
  <si>
    <t>STANDARD DUTY CONCRETE PAVEMENT</t>
  </si>
  <si>
    <t>TRAFFIC SIGNAL POST FOOTING</t>
  </si>
  <si>
    <t>TRANSFORMER PAD</t>
  </si>
  <si>
    <t>Formwork pad</t>
  </si>
  <si>
    <t>TRUNCATED DOMES</t>
  </si>
  <si>
    <t>VALLEY GUTTER</t>
  </si>
  <si>
    <t>EXTERIOR IMPROVEMENT</t>
  </si>
  <si>
    <t>32 00 00</t>
  </si>
  <si>
    <t>SIGNAGES FOOTING</t>
  </si>
  <si>
    <t>Item: F5x13
Length: 13'-0"
Width: 5'-0"
Depth: 2'-6"
Count: 01 EA</t>
  </si>
  <si>
    <t>Item: F6
Length: 6'-0"
Width: 6'-0"
Depth: 2'-0"
Count: 03 EA</t>
  </si>
  <si>
    <t>Item: F6x24x30"
Length: 24'-0"
Width: 6'-0"
Depth: 2'-6"
Count: 03 EA</t>
  </si>
  <si>
    <t>Item: F6x21x30"
Length: 21'-0"
Width: 6'
Depth: 2'-6"
Count: 01 EA</t>
  </si>
  <si>
    <t>Item: F7
Length: 7'-0"
Width: 7'-0"
Depth: 2'-0"
Count: 02 EA</t>
  </si>
  <si>
    <t>Item: F8
Length: 8'-0"
Width: 8'-0"
Depth: 2'-0"
Count: 01 EA</t>
  </si>
  <si>
    <t>Item: P4(Non-Structural Pier)
Length: 3'-5"
Width: 3'-0"
Depth: 3'-0"
Count: 01 EA</t>
  </si>
  <si>
    <t>4" Thick Slab On Grade</t>
  </si>
  <si>
    <t>Concrete (4000 Psi)</t>
  </si>
  <si>
    <t>#7 @ 10" O.C. EW TB</t>
  </si>
  <si>
    <t>#3 @ 6" O.C. Ties</t>
  </si>
  <si>
    <t>#4 @ 6" O.C. Ties</t>
  </si>
  <si>
    <t>#3 @ 12" O.C. Ties</t>
  </si>
  <si>
    <t>#5 @ 12" O.C.</t>
  </si>
  <si>
    <t>Formwork (Pad Footing)</t>
  </si>
  <si>
    <t>Formwork (Pier)</t>
  </si>
  <si>
    <t>Item: P1(Structural Pier)
Length: 2'-0"
Width: 2'-0"
Depth: 1'-8"
Count: 08 EA</t>
  </si>
  <si>
    <t>Item: P2(Structural Pier)
Length: 3'-6"
Width: 3'-6"
Depth: 1'-8"
Count: 08 EA</t>
  </si>
  <si>
    <t>Item: P3(Non-Structural Pier)
Length: 3'-5"
Width: 2'-3 1/2"
Depth: 3'-0"
Count: 01 EA</t>
  </si>
  <si>
    <t xml:space="preserve">4" Thick Slab On Grade (4000 Psi) W/
- 6x6 W1.4xW1.4 </t>
  </si>
  <si>
    <t>4" Edge Form</t>
  </si>
  <si>
    <t>15 Mil Vapor Barrier</t>
  </si>
  <si>
    <t>4" Aggregate Base</t>
  </si>
  <si>
    <t>Termite Treatment</t>
  </si>
  <si>
    <t>Control Joint</t>
  </si>
  <si>
    <t>Expansion Joint</t>
  </si>
  <si>
    <t xml:space="preserve">6" Thick Slab On Grade (4000 Psi) W/
- 6x6 W1.4xW1.4 </t>
  </si>
  <si>
    <t>THICKENED EDGE</t>
  </si>
  <si>
    <t>Formwork (Turn Down)</t>
  </si>
  <si>
    <t>Diameter: 2'-0"
Depth: 4'-0"
Count: 04 EA.</t>
  </si>
  <si>
    <t>Diameter: 2'-0"
Depth: 4'-0"
Count: 13 EA</t>
  </si>
  <si>
    <t>Diameter: 2'-0"
Depth: 4'-0"
Count: 01 EA</t>
  </si>
  <si>
    <t>Item: WF3
Length: 45'-0"
Width: 3'-0"
Depth: 1'-0"</t>
  </si>
  <si>
    <t>Diamter: 1'-6"
Depth: 4'-0"
Count: 103 EA</t>
  </si>
  <si>
    <t>Item: F7.5
Length: 7'-6"
Width: 7'-6"
Depth: 2'-0"
Count: 16 EA</t>
  </si>
  <si>
    <t>Item: P1
Length: 2'-8"
Width: 2'-8"
Depth: 2'-6"
Count: 16 EA</t>
  </si>
  <si>
    <t>Diameter: 2'-0"
Depth: 5'-6"
Count: 16EA</t>
  </si>
  <si>
    <t>Diameter: 2'
Depth: 5'-6"
Count: 03 EA</t>
  </si>
  <si>
    <t>Formwork (Circular Footing)</t>
  </si>
  <si>
    <t xml:space="preserve">4" Thick Sidewalk (4000 Psi) W/ 
- Polymer Fiber Additive </t>
  </si>
  <si>
    <t>8" Edge Form</t>
  </si>
  <si>
    <t>6" Edge Form</t>
  </si>
  <si>
    <t>Stamped Finish</t>
  </si>
  <si>
    <t>#5 @ 18" O.C. Transverse TB</t>
  </si>
  <si>
    <t>#5 @ 12" O.C. Dowels</t>
  </si>
  <si>
    <t>#5 @ 12" O.C. EW</t>
  </si>
  <si>
    <t>#4 @ 12" O.C. Ties</t>
  </si>
  <si>
    <t>Formwork (Wall Footing)</t>
  </si>
  <si>
    <t>Excavation (Hand Dig)</t>
  </si>
  <si>
    <t>8" Thick Slab On Grade</t>
  </si>
  <si>
    <t>8" Thick Slab On Grade (4000 Psi)</t>
  </si>
  <si>
    <t>6#6 Vertical Bars</t>
  </si>
  <si>
    <t>8" Thick Pavement (4000 Psi)</t>
  </si>
  <si>
    <t>6" Thick Pavement (4000 Psi)</t>
  </si>
  <si>
    <t>Truncated Domes</t>
  </si>
  <si>
    <t>Valley Gutter</t>
  </si>
  <si>
    <t>6" Thick Slab On Grade (4000 Psi)</t>
  </si>
  <si>
    <t>6" Thick Slab On Grade</t>
  </si>
  <si>
    <t>-</t>
  </si>
  <si>
    <t>Column Isolation Joints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</si>
</sst>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0_);_(&quot;$&quot;* \(#,##0.00\);_(&quot;$&quot;* &quot;-&quot;?_);_(@_)"/>
    <numFmt numFmtId="168" formatCode="[$-F800]dddd\,\ mmmm\ dd\,\ yyyy"/>
    <numFmt numFmtId="169" formatCode="0.0000000"/>
    <numFmt numFmtId="170" formatCode="&quot;$&quot;#,##0.00"/>
    <numFmt numFmtId="171" formatCode="_(* #,##0.00_);_(* \(#,##0.00\);_(* &quot;-&quot;_);_(@_)"/>
    <numFmt numFmtId="172" formatCode="0\ &quot;CY&quot;"/>
  </numFmts>
  <fonts count="4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0"/>
      <name val="Arial"/>
      <family val="2"/>
    </font>
    <font>
      <b/>
      <sz val="12"/>
      <color theme="0"/>
      <name val="Verdana"/>
      <family val="2"/>
    </font>
    <font>
      <b/>
      <i/>
      <sz val="12"/>
      <color rgb="FF00206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Verdana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i/>
      <sz val="12"/>
      <color rgb="FFFF0000"/>
      <name val="Calibri"/>
      <family val="2"/>
      <scheme val="minor"/>
    </font>
    <font>
      <b/>
      <i/>
      <sz val="12"/>
      <color rgb="FFFF512C"/>
      <name val="Arial"/>
      <family val="2"/>
    </font>
    <font>
      <b/>
      <i/>
      <sz val="12"/>
      <color theme="5" tint="-0.249977111117893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Arial"/>
    </font>
    <font>
      <b/>
      <sz val="12"/>
      <color theme="0"/>
      <name val="Times New Roman"/>
      <family val="1"/>
    </font>
    <font>
      <b/>
      <i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2" fillId="0" borderId="0"/>
    <xf numFmtId="0" fontId="4" fillId="0" borderId="0"/>
    <xf numFmtId="43" fontId="22" fillId="0" borderId="0" applyFont="0" applyFill="0" applyBorder="0" applyAlignment="0" applyProtection="0"/>
    <xf numFmtId="0" fontId="23" fillId="0" borderId="0"/>
    <xf numFmtId="43" fontId="4" fillId="0" borderId="0" applyFont="0" applyFill="0" applyBorder="0" applyAlignment="0" applyProtection="0"/>
    <xf numFmtId="0" fontId="4" fillId="0" borderId="0"/>
    <xf numFmtId="44" fontId="2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2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50">
    <xf numFmtId="0" fontId="0" fillId="0" borderId="0" xfId="0"/>
    <xf numFmtId="0" fontId="24" fillId="24" borderId="18" xfId="0" applyFont="1" applyFill="1" applyBorder="1" applyAlignment="1">
      <alignment horizontal="center" vertical="top"/>
    </xf>
    <xf numFmtId="0" fontId="24" fillId="24" borderId="12" xfId="0" applyFont="1" applyFill="1" applyBorder="1" applyAlignment="1">
      <alignment horizontal="left" vertical="top"/>
    </xf>
    <xf numFmtId="14" fontId="24" fillId="24" borderId="0" xfId="0" applyNumberFormat="1" applyFont="1" applyFill="1" applyBorder="1" applyAlignment="1">
      <alignment horizontal="left" vertical="top"/>
    </xf>
    <xf numFmtId="165" fontId="25" fillId="0" borderId="29" xfId="55" applyNumberFormat="1" applyFont="1" applyFill="1" applyBorder="1" applyAlignment="1">
      <alignment horizontal="center" vertical="top"/>
    </xf>
    <xf numFmtId="165" fontId="25" fillId="0" borderId="17" xfId="55" applyNumberFormat="1" applyFont="1" applyFill="1" applyBorder="1" applyAlignment="1">
      <alignment horizontal="center" vertical="top"/>
    </xf>
    <xf numFmtId="0" fontId="24" fillId="24" borderId="10" xfId="45" applyFont="1" applyFill="1" applyBorder="1" applyAlignment="1" applyProtection="1">
      <alignment horizontal="center" vertical="top" wrapText="1"/>
    </xf>
    <xf numFmtId="1" fontId="24" fillId="24" borderId="10" xfId="45" applyNumberFormat="1" applyFont="1" applyFill="1" applyBorder="1" applyAlignment="1" applyProtection="1">
      <alignment horizontal="right" vertical="top"/>
    </xf>
    <xf numFmtId="0" fontId="24" fillId="0" borderId="0" xfId="45" applyFont="1" applyFill="1" applyBorder="1" applyAlignment="1">
      <alignment vertical="top"/>
    </xf>
    <xf numFmtId="41" fontId="24" fillId="24" borderId="16" xfId="45" applyNumberFormat="1" applyFont="1" applyFill="1" applyBorder="1" applyAlignment="1">
      <alignment horizontal="center" vertical="top"/>
    </xf>
    <xf numFmtId="9" fontId="24" fillId="24" borderId="16" xfId="45" applyNumberFormat="1" applyFont="1" applyFill="1" applyBorder="1" applyAlignment="1">
      <alignment horizontal="center" vertical="top"/>
    </xf>
    <xf numFmtId="0" fontId="24" fillId="24" borderId="16" xfId="45" applyFont="1" applyFill="1" applyBorder="1" applyAlignment="1">
      <alignment horizontal="center" vertical="top"/>
    </xf>
    <xf numFmtId="167" fontId="24" fillId="24" borderId="16" xfId="45" applyNumberFormat="1" applyFont="1" applyFill="1" applyBorder="1" applyAlignment="1" applyProtection="1">
      <alignment horizontal="center" vertical="top"/>
    </xf>
    <xf numFmtId="1" fontId="24" fillId="24" borderId="13" xfId="45" applyNumberFormat="1" applyFont="1" applyFill="1" applyBorder="1" applyAlignment="1" applyProtection="1">
      <alignment horizontal="right" vertical="top"/>
    </xf>
    <xf numFmtId="1" fontId="24" fillId="0" borderId="10" xfId="45" applyNumberFormat="1" applyFont="1" applyFill="1" applyBorder="1" applyAlignment="1">
      <alignment horizontal="center" vertical="top"/>
    </xf>
    <xf numFmtId="9" fontId="24" fillId="0" borderId="13" xfId="45" applyNumberFormat="1" applyFont="1" applyFill="1" applyBorder="1" applyAlignment="1">
      <alignment horizontal="center" vertical="top"/>
    </xf>
    <xf numFmtId="41" fontId="24" fillId="0" borderId="10" xfId="45" applyNumberFormat="1" applyFont="1" applyFill="1" applyBorder="1" applyAlignment="1">
      <alignment horizontal="center" vertical="top"/>
    </xf>
    <xf numFmtId="0" fontId="24" fillId="0" borderId="10" xfId="45" applyFont="1" applyFill="1" applyBorder="1" applyAlignment="1">
      <alignment horizontal="center" vertical="top"/>
    </xf>
    <xf numFmtId="167" fontId="24" fillId="0" borderId="10" xfId="45" applyNumberFormat="1" applyFont="1" applyFill="1" applyBorder="1" applyAlignment="1" applyProtection="1">
      <alignment horizontal="center" vertical="top"/>
    </xf>
    <xf numFmtId="0" fontId="24" fillId="0" borderId="11" xfId="45" applyFont="1" applyFill="1" applyBorder="1" applyAlignment="1">
      <alignment vertical="top"/>
    </xf>
    <xf numFmtId="2" fontId="3" fillId="24" borderId="11" xfId="45" applyNumberFormat="1" applyFont="1" applyFill="1" applyBorder="1" applyAlignment="1">
      <alignment vertical="top"/>
    </xf>
    <xf numFmtId="0" fontId="24" fillId="24" borderId="11" xfId="45" applyFont="1" applyFill="1" applyBorder="1" applyAlignment="1">
      <alignment vertical="top"/>
    </xf>
    <xf numFmtId="2" fontId="25" fillId="24" borderId="11" xfId="45" applyNumberFormat="1" applyFont="1" applyFill="1" applyBorder="1" applyAlignment="1">
      <alignment horizontal="left" vertical="top"/>
    </xf>
    <xf numFmtId="2" fontId="3" fillId="24" borderId="0" xfId="45" applyNumberFormat="1" applyFont="1" applyFill="1" applyBorder="1" applyAlignment="1">
      <alignment vertical="top"/>
    </xf>
    <xf numFmtId="0" fontId="24" fillId="24" borderId="0" xfId="45" applyFont="1" applyFill="1" applyBorder="1" applyAlignment="1">
      <alignment vertical="top"/>
    </xf>
    <xf numFmtId="2" fontId="25" fillId="24" borderId="0" xfId="45" applyNumberFormat="1" applyFont="1" applyFill="1" applyBorder="1" applyAlignment="1">
      <alignment horizontal="left" vertical="top"/>
    </xf>
    <xf numFmtId="168" fontId="33" fillId="24" borderId="33" xfId="45" applyNumberFormat="1" applyFont="1" applyFill="1" applyBorder="1" applyAlignment="1">
      <alignment vertical="top"/>
    </xf>
    <xf numFmtId="0" fontId="28" fillId="0" borderId="0" xfId="45" applyFont="1" applyFill="1" applyBorder="1" applyAlignment="1">
      <alignment horizontal="center" vertical="top" wrapText="1"/>
    </xf>
    <xf numFmtId="0" fontId="24" fillId="0" borderId="20" xfId="45" applyFont="1" applyFill="1" applyBorder="1" applyAlignment="1" applyProtection="1">
      <alignment horizontal="center" vertical="top"/>
    </xf>
    <xf numFmtId="166" fontId="25" fillId="24" borderId="32" xfId="45" applyNumberFormat="1" applyFont="1" applyFill="1" applyBorder="1" applyAlignment="1" applyProtection="1">
      <alignment horizontal="center" vertical="top"/>
    </xf>
    <xf numFmtId="0" fontId="29" fillId="26" borderId="0" xfId="45" applyFont="1" applyFill="1" applyBorder="1" applyAlignment="1">
      <alignment vertical="top"/>
    </xf>
    <xf numFmtId="0" fontId="24" fillId="24" borderId="0" xfId="45" applyFont="1" applyFill="1" applyBorder="1" applyAlignment="1" applyProtection="1">
      <alignment horizontal="center" vertical="top" wrapText="1"/>
    </xf>
    <xf numFmtId="9" fontId="24" fillId="0" borderId="23" xfId="45" applyNumberFormat="1" applyFont="1" applyFill="1" applyBorder="1" applyAlignment="1">
      <alignment horizontal="center" vertical="top"/>
    </xf>
    <xf numFmtId="41" fontId="24" fillId="0" borderId="30" xfId="45" applyNumberFormat="1" applyFont="1" applyFill="1" applyBorder="1" applyAlignment="1">
      <alignment horizontal="center" vertical="top"/>
    </xf>
    <xf numFmtId="0" fontId="24" fillId="0" borderId="30" xfId="45" applyFont="1" applyFill="1" applyBorder="1" applyAlignment="1">
      <alignment horizontal="center" vertical="top"/>
    </xf>
    <xf numFmtId="0" fontId="24" fillId="24" borderId="10" xfId="45" applyFont="1" applyFill="1" applyBorder="1" applyAlignment="1" applyProtection="1">
      <alignment horizontal="center" vertical="top"/>
    </xf>
    <xf numFmtId="0" fontId="24" fillId="24" borderId="14" xfId="45" applyFont="1" applyFill="1" applyBorder="1" applyAlignment="1" applyProtection="1">
      <alignment horizontal="center" vertical="top" wrapText="1"/>
    </xf>
    <xf numFmtId="2" fontId="24" fillId="0" borderId="26" xfId="45" applyNumberFormat="1" applyFont="1" applyFill="1" applyBorder="1" applyAlignment="1">
      <alignment horizontal="left" vertical="top" wrapText="1"/>
    </xf>
    <xf numFmtId="1" fontId="24" fillId="0" borderId="13" xfId="45" applyNumberFormat="1" applyFont="1" applyFill="1" applyBorder="1" applyAlignment="1">
      <alignment horizontal="center" vertical="top"/>
    </xf>
    <xf numFmtId="165" fontId="24" fillId="0" borderId="14" xfId="45" applyNumberFormat="1" applyFont="1" applyFill="1" applyBorder="1" applyAlignment="1">
      <alignment horizontal="center" vertical="top"/>
    </xf>
    <xf numFmtId="0" fontId="25" fillId="27" borderId="15" xfId="45" applyFont="1" applyFill="1" applyBorder="1" applyAlignment="1">
      <alignment horizontal="left" vertical="top"/>
    </xf>
    <xf numFmtId="1" fontId="24" fillId="27" borderId="15" xfId="45" applyNumberFormat="1" applyFont="1" applyFill="1" applyBorder="1" applyAlignment="1">
      <alignment horizontal="center" vertical="top"/>
    </xf>
    <xf numFmtId="0" fontId="24" fillId="27" borderId="15" xfId="45" applyFont="1" applyFill="1" applyBorder="1" applyAlignment="1">
      <alignment vertical="top"/>
    </xf>
    <xf numFmtId="44" fontId="24" fillId="27" borderId="15" xfId="55" applyNumberFormat="1" applyFont="1" applyFill="1" applyBorder="1" applyAlignment="1">
      <alignment vertical="top"/>
    </xf>
    <xf numFmtId="2" fontId="25" fillId="0" borderId="17" xfId="45" applyNumberFormat="1" applyFont="1" applyFill="1" applyBorder="1" applyAlignment="1">
      <alignment horizontal="left" vertical="top" wrapText="1"/>
    </xf>
    <xf numFmtId="9" fontId="24" fillId="0" borderId="10" xfId="45" applyNumberFormat="1" applyFont="1" applyFill="1" applyBorder="1" applyAlignment="1">
      <alignment horizontal="center" vertical="top"/>
    </xf>
    <xf numFmtId="44" fontId="24" fillId="0" borderId="10" xfId="55" applyNumberFormat="1" applyFont="1" applyFill="1" applyBorder="1" applyAlignment="1">
      <alignment horizontal="center" vertical="top"/>
    </xf>
    <xf numFmtId="166" fontId="25" fillId="0" borderId="14" xfId="45" applyNumberFormat="1" applyFont="1" applyFill="1" applyBorder="1" applyAlignment="1" applyProtection="1">
      <alignment horizontal="center" vertical="top"/>
    </xf>
    <xf numFmtId="2" fontId="24" fillId="0" borderId="25" xfId="45" applyNumberFormat="1" applyFont="1" applyFill="1" applyBorder="1" applyAlignment="1">
      <alignment horizontal="left" vertical="top" wrapText="1"/>
    </xf>
    <xf numFmtId="9" fontId="24" fillId="24" borderId="10" xfId="56" applyFont="1" applyFill="1" applyBorder="1" applyAlignment="1" applyProtection="1">
      <alignment horizontal="center" vertical="top"/>
    </xf>
    <xf numFmtId="44" fontId="24" fillId="24" borderId="10" xfId="55" applyNumberFormat="1" applyFont="1" applyFill="1" applyBorder="1" applyAlignment="1" applyProtection="1">
      <alignment horizontal="center" vertical="top"/>
    </xf>
    <xf numFmtId="9" fontId="24" fillId="24" borderId="10" xfId="45" applyNumberFormat="1" applyFont="1" applyFill="1" applyBorder="1" applyAlignment="1">
      <alignment horizontal="center" vertical="top"/>
    </xf>
    <xf numFmtId="41" fontId="24" fillId="24" borderId="10" xfId="45" applyNumberFormat="1" applyFont="1" applyFill="1" applyBorder="1" applyAlignment="1">
      <alignment horizontal="center" vertical="top"/>
    </xf>
    <xf numFmtId="0" fontId="24" fillId="24" borderId="10" xfId="45" applyFont="1" applyFill="1" applyBorder="1" applyAlignment="1">
      <alignment horizontal="center" vertical="top"/>
    </xf>
    <xf numFmtId="0" fontId="24" fillId="24" borderId="13" xfId="45" applyFont="1" applyFill="1" applyBorder="1" applyAlignment="1" applyProtection="1">
      <alignment horizontal="center" vertical="top" wrapText="1"/>
    </xf>
    <xf numFmtId="165" fontId="24" fillId="24" borderId="21" xfId="45" applyNumberFormat="1" applyFont="1" applyFill="1" applyBorder="1" applyAlignment="1">
      <alignment horizontal="center" vertical="top"/>
    </xf>
    <xf numFmtId="165" fontId="24" fillId="24" borderId="31" xfId="45" applyNumberFormat="1" applyFont="1" applyFill="1" applyBorder="1" applyAlignment="1">
      <alignment horizontal="center" vertical="top"/>
    </xf>
    <xf numFmtId="0" fontId="24" fillId="0" borderId="0" xfId="45" applyFont="1" applyBorder="1" applyAlignment="1">
      <alignment vertical="top"/>
    </xf>
    <xf numFmtId="0" fontId="24" fillId="0" borderId="0" xfId="45" applyFont="1" applyBorder="1" applyAlignment="1">
      <alignment horizontal="center" vertical="top"/>
    </xf>
    <xf numFmtId="2" fontId="24" fillId="0" borderId="0" xfId="45" applyNumberFormat="1" applyFont="1" applyBorder="1" applyAlignment="1">
      <alignment horizontal="left" vertical="top" wrapText="1"/>
    </xf>
    <xf numFmtId="1" fontId="24" fillId="0" borderId="0" xfId="45" applyNumberFormat="1" applyFont="1" applyBorder="1" applyAlignment="1">
      <alignment horizontal="center" vertical="top" wrapText="1"/>
    </xf>
    <xf numFmtId="2" fontId="24" fillId="0" borderId="0" xfId="45" applyNumberFormat="1" applyFont="1" applyBorder="1" applyAlignment="1">
      <alignment horizontal="center" vertical="top" wrapText="1"/>
    </xf>
    <xf numFmtId="44" fontId="24" fillId="0" borderId="0" xfId="55" applyFont="1" applyBorder="1" applyAlignment="1">
      <alignment horizontal="center" vertical="top"/>
    </xf>
    <xf numFmtId="164" fontId="24" fillId="0" borderId="0" xfId="45" applyNumberFormat="1" applyFont="1" applyBorder="1" applyAlignment="1">
      <alignment vertical="top"/>
    </xf>
    <xf numFmtId="0" fontId="24" fillId="0" borderId="12" xfId="45" applyFont="1" applyBorder="1" applyAlignment="1">
      <alignment horizontal="center" vertical="top"/>
    </xf>
    <xf numFmtId="0" fontId="25" fillId="27" borderId="15" xfId="45" applyFont="1" applyFill="1" applyBorder="1" applyAlignment="1">
      <alignment horizontal="center" vertical="center"/>
    </xf>
    <xf numFmtId="44" fontId="24" fillId="29" borderId="10" xfId="55" applyNumberFormat="1" applyFont="1" applyFill="1" applyBorder="1" applyAlignment="1" applyProtection="1">
      <alignment horizontal="center" vertical="top"/>
    </xf>
    <xf numFmtId="0" fontId="24" fillId="24" borderId="14" xfId="45" applyFont="1" applyFill="1" applyBorder="1" applyAlignment="1" applyProtection="1">
      <alignment horizontal="center" vertical="top"/>
    </xf>
    <xf numFmtId="0" fontId="25" fillId="27" borderId="22" xfId="45" applyFont="1" applyFill="1" applyBorder="1" applyAlignment="1">
      <alignment vertical="top"/>
    </xf>
    <xf numFmtId="44" fontId="24" fillId="0" borderId="0" xfId="45" applyNumberFormat="1" applyFont="1" applyFill="1" applyBorder="1" applyAlignment="1">
      <alignment vertical="top"/>
    </xf>
    <xf numFmtId="2" fontId="3" fillId="28" borderId="0" xfId="45" applyNumberFormat="1" applyFont="1" applyFill="1" applyBorder="1" applyAlignment="1">
      <alignment vertical="top"/>
    </xf>
    <xf numFmtId="44" fontId="24" fillId="0" borderId="0" xfId="45" applyNumberFormat="1" applyFont="1" applyBorder="1" applyAlignment="1">
      <alignment vertical="top"/>
    </xf>
    <xf numFmtId="169" fontId="24" fillId="0" borderId="0" xfId="45" applyNumberFormat="1" applyFont="1" applyFill="1" applyBorder="1" applyAlignment="1">
      <alignment vertical="top"/>
    </xf>
    <xf numFmtId="2" fontId="25" fillId="0" borderId="10" xfId="45" applyNumberFormat="1" applyFont="1" applyFill="1" applyBorder="1" applyAlignment="1">
      <alignment horizontal="right" vertical="top" wrapText="1"/>
    </xf>
    <xf numFmtId="2" fontId="27" fillId="24" borderId="0" xfId="54" applyNumberFormat="1" applyFill="1" applyBorder="1" applyAlignment="1">
      <alignment horizontal="center" vertical="top"/>
    </xf>
    <xf numFmtId="14" fontId="32" fillId="24" borderId="18" xfId="45" applyNumberFormat="1" applyFont="1" applyFill="1" applyBorder="1" applyAlignment="1">
      <alignment horizontal="left" vertical="top"/>
    </xf>
    <xf numFmtId="2" fontId="27" fillId="24" borderId="18" xfId="54" applyNumberFormat="1" applyFill="1" applyBorder="1" applyAlignment="1">
      <alignment horizontal="center" vertical="top"/>
    </xf>
    <xf numFmtId="44" fontId="24" fillId="24" borderId="0" xfId="45" applyNumberFormat="1" applyFont="1" applyFill="1" applyBorder="1" applyAlignment="1">
      <alignment vertical="top"/>
    </xf>
    <xf numFmtId="1" fontId="24" fillId="24" borderId="13" xfId="45" applyNumberFormat="1" applyFont="1" applyFill="1" applyBorder="1" applyAlignment="1">
      <alignment horizontal="center" vertical="top"/>
    </xf>
    <xf numFmtId="165" fontId="24" fillId="24" borderId="14" xfId="45" applyNumberFormat="1" applyFont="1" applyFill="1" applyBorder="1" applyAlignment="1">
      <alignment horizontal="center" vertical="top"/>
    </xf>
    <xf numFmtId="2" fontId="24" fillId="24" borderId="26" xfId="45" applyNumberFormat="1" applyFont="1" applyFill="1" applyBorder="1" applyAlignment="1">
      <alignment horizontal="left" vertical="top" wrapText="1"/>
    </xf>
    <xf numFmtId="43" fontId="24" fillId="0" borderId="0" xfId="45" applyNumberFormat="1" applyFont="1" applyFill="1" applyBorder="1" applyAlignment="1">
      <alignment vertical="top"/>
    </xf>
    <xf numFmtId="2" fontId="24" fillId="24" borderId="34" xfId="45" applyNumberFormat="1" applyFont="1" applyFill="1" applyBorder="1" applyAlignment="1">
      <alignment horizontal="left" vertical="top" wrapText="1"/>
    </xf>
    <xf numFmtId="165" fontId="24" fillId="0" borderId="14" xfId="55" applyNumberFormat="1" applyFont="1" applyFill="1" applyBorder="1" applyAlignment="1">
      <alignment horizontal="center" vertical="top"/>
    </xf>
    <xf numFmtId="166" fontId="25" fillId="24" borderId="39" xfId="45" applyNumberFormat="1" applyFont="1" applyFill="1" applyBorder="1" applyAlignment="1" applyProtection="1">
      <alignment horizontal="center" vertical="top"/>
    </xf>
    <xf numFmtId="165" fontId="24" fillId="24" borderId="14" xfId="55" applyNumberFormat="1" applyFont="1" applyFill="1" applyBorder="1" applyAlignment="1" applyProtection="1">
      <alignment horizontal="center" vertical="top"/>
    </xf>
    <xf numFmtId="44" fontId="24" fillId="24" borderId="14" xfId="55" applyNumberFormat="1" applyFont="1" applyFill="1" applyBorder="1" applyAlignment="1" applyProtection="1">
      <alignment horizontal="center" vertical="top"/>
    </xf>
    <xf numFmtId="165" fontId="24" fillId="27" borderId="15" xfId="55" applyNumberFormat="1" applyFont="1" applyFill="1" applyBorder="1" applyAlignment="1">
      <alignment vertical="top"/>
    </xf>
    <xf numFmtId="165" fontId="24" fillId="24" borderId="21" xfId="45" applyNumberFormat="1" applyFont="1" applyFill="1" applyBorder="1" applyAlignment="1" applyProtection="1">
      <alignment horizontal="center" vertical="top"/>
    </xf>
    <xf numFmtId="165" fontId="24" fillId="0" borderId="14" xfId="45" applyNumberFormat="1" applyFont="1" applyFill="1" applyBorder="1" applyAlignment="1" applyProtection="1">
      <alignment horizontal="center" vertical="top"/>
    </xf>
    <xf numFmtId="165" fontId="24" fillId="24" borderId="40" xfId="55" applyNumberFormat="1" applyFont="1" applyFill="1" applyBorder="1" applyAlignment="1" applyProtection="1">
      <alignment horizontal="center" vertical="top"/>
    </xf>
    <xf numFmtId="0" fontId="24" fillId="0" borderId="41" xfId="45" applyFont="1" applyFill="1" applyBorder="1" applyAlignment="1" applyProtection="1">
      <alignment horizontal="center" vertical="top"/>
    </xf>
    <xf numFmtId="0" fontId="24" fillId="24" borderId="27" xfId="45" applyFont="1" applyFill="1" applyBorder="1" applyAlignment="1" applyProtection="1">
      <alignment horizontal="center" vertical="top"/>
    </xf>
    <xf numFmtId="0" fontId="24" fillId="24" borderId="40" xfId="45" applyFont="1" applyFill="1" applyBorder="1" applyAlignment="1" applyProtection="1">
      <alignment horizontal="center" vertical="top" wrapText="1"/>
    </xf>
    <xf numFmtId="0" fontId="24" fillId="24" borderId="27" xfId="45" applyFont="1" applyFill="1" applyBorder="1" applyAlignment="1" applyProtection="1">
      <alignment horizontal="center" vertical="top" wrapText="1"/>
    </xf>
    <xf numFmtId="1" fontId="24" fillId="24" borderId="30" xfId="45" applyNumberFormat="1" applyFont="1" applyFill="1" applyBorder="1" applyAlignment="1">
      <alignment horizontal="center" vertical="top"/>
    </xf>
    <xf numFmtId="9" fontId="24" fillId="24" borderId="27" xfId="56" applyFont="1" applyFill="1" applyBorder="1" applyAlignment="1" applyProtection="1">
      <alignment horizontal="center" vertical="top"/>
    </xf>
    <xf numFmtId="41" fontId="24" fillId="24" borderId="27" xfId="45" applyNumberFormat="1" applyFont="1" applyFill="1" applyBorder="1" applyAlignment="1">
      <alignment horizontal="center" vertical="top"/>
    </xf>
    <xf numFmtId="0" fontId="24" fillId="24" borderId="27" xfId="45" applyFont="1" applyFill="1" applyBorder="1" applyAlignment="1">
      <alignment horizontal="center" vertical="top"/>
    </xf>
    <xf numFmtId="165" fontId="24" fillId="24" borderId="27" xfId="55" applyNumberFormat="1" applyFont="1" applyFill="1" applyBorder="1" applyAlignment="1" applyProtection="1">
      <alignment horizontal="center" vertical="top"/>
    </xf>
    <xf numFmtId="165" fontId="24" fillId="24" borderId="40" xfId="45" applyNumberFormat="1" applyFont="1" applyFill="1" applyBorder="1" applyAlignment="1">
      <alignment horizontal="center" vertical="top"/>
    </xf>
    <xf numFmtId="2" fontId="25" fillId="28" borderId="0" xfId="45" applyNumberFormat="1" applyFont="1" applyFill="1" applyBorder="1" applyAlignment="1">
      <alignment horizontal="left" vertical="top"/>
    </xf>
    <xf numFmtId="0" fontId="24" fillId="24" borderId="18" xfId="45" applyFont="1" applyFill="1" applyBorder="1" applyAlignment="1">
      <alignment vertical="top"/>
    </xf>
    <xf numFmtId="44" fontId="24" fillId="0" borderId="13" xfId="55" applyNumberFormat="1" applyFont="1" applyFill="1" applyBorder="1" applyAlignment="1">
      <alignment horizontal="center" vertical="top"/>
    </xf>
    <xf numFmtId="165" fontId="24" fillId="0" borderId="13" xfId="55" applyNumberFormat="1" applyFont="1" applyFill="1" applyBorder="1" applyAlignment="1">
      <alignment horizontal="center" vertical="top"/>
    </xf>
    <xf numFmtId="166" fontId="25" fillId="0" borderId="42" xfId="45" applyNumberFormat="1" applyFont="1" applyFill="1" applyBorder="1" applyAlignment="1" applyProtection="1">
      <alignment horizontal="center" vertical="top"/>
    </xf>
    <xf numFmtId="0" fontId="24" fillId="27" borderId="28" xfId="45" applyFont="1" applyFill="1" applyBorder="1" applyAlignment="1">
      <alignment vertical="top"/>
    </xf>
    <xf numFmtId="2" fontId="24" fillId="0" borderId="0" xfId="45" applyNumberFormat="1" applyFont="1" applyFill="1" applyBorder="1" applyAlignment="1">
      <alignment horizontal="left" vertical="top" wrapText="1"/>
    </xf>
    <xf numFmtId="2" fontId="34" fillId="24" borderId="11" xfId="45" applyNumberFormat="1" applyFont="1" applyFill="1" applyBorder="1" applyAlignment="1">
      <alignment vertical="top"/>
    </xf>
    <xf numFmtId="0" fontId="24" fillId="24" borderId="35" xfId="45" applyFont="1" applyFill="1" applyBorder="1" applyAlignment="1">
      <alignment vertical="top"/>
    </xf>
    <xf numFmtId="0" fontId="4" fillId="0" borderId="0" xfId="45"/>
    <xf numFmtId="0" fontId="4" fillId="0" borderId="0" xfId="45" applyBorder="1"/>
    <xf numFmtId="0" fontId="25" fillId="24" borderId="12" xfId="45" applyFont="1" applyFill="1" applyBorder="1" applyAlignment="1">
      <alignment horizontal="left" vertical="top"/>
    </xf>
    <xf numFmtId="0" fontId="25" fillId="24" borderId="0" xfId="45" applyFont="1" applyFill="1" applyBorder="1" applyAlignment="1">
      <alignment horizontal="left" vertical="top"/>
    </xf>
    <xf numFmtId="0" fontId="25" fillId="24" borderId="18" xfId="45" applyFont="1" applyFill="1" applyBorder="1" applyAlignment="1">
      <alignment horizontal="left" vertical="top"/>
    </xf>
    <xf numFmtId="14" fontId="24" fillId="24" borderId="0" xfId="45" applyNumberFormat="1" applyFont="1" applyFill="1" applyBorder="1" applyAlignment="1">
      <alignment horizontal="left" vertical="top"/>
    </xf>
    <xf numFmtId="14" fontId="24" fillId="24" borderId="12" xfId="45" applyNumberFormat="1" applyFont="1" applyFill="1" applyBorder="1" applyAlignment="1">
      <alignment horizontal="left" vertical="top"/>
    </xf>
    <xf numFmtId="14" fontId="24" fillId="24" borderId="18" xfId="45" applyNumberFormat="1" applyFont="1" applyFill="1" applyBorder="1" applyAlignment="1">
      <alignment horizontal="left" vertical="top"/>
    </xf>
    <xf numFmtId="49" fontId="35" fillId="0" borderId="12" xfId="45" applyNumberFormat="1" applyFont="1" applyBorder="1" applyAlignment="1">
      <alignment horizontal="center" vertical="top" wrapText="1"/>
    </xf>
    <xf numFmtId="0" fontId="36" fillId="0" borderId="0" xfId="45" applyFont="1" applyBorder="1" applyAlignment="1">
      <alignment vertical="top" wrapText="1"/>
    </xf>
    <xf numFmtId="166" fontId="36" fillId="24" borderId="18" xfId="45" applyNumberFormat="1" applyFont="1" applyFill="1" applyBorder="1" applyAlignment="1" applyProtection="1">
      <alignment horizontal="left" vertical="top"/>
    </xf>
    <xf numFmtId="170" fontId="25" fillId="24" borderId="0" xfId="45" applyNumberFormat="1" applyFont="1" applyFill="1" applyBorder="1" applyAlignment="1">
      <alignment horizontal="left" vertical="top"/>
    </xf>
    <xf numFmtId="0" fontId="4" fillId="0" borderId="18" xfId="45" applyBorder="1"/>
    <xf numFmtId="0" fontId="38" fillId="0" borderId="0" xfId="45" applyFont="1" applyBorder="1" applyAlignment="1">
      <alignment horizontal="left" vertical="top"/>
    </xf>
    <xf numFmtId="0" fontId="39" fillId="0" borderId="33" xfId="45" applyFont="1" applyBorder="1" applyAlignment="1"/>
    <xf numFmtId="0" fontId="4" fillId="0" borderId="33" xfId="45" applyBorder="1"/>
    <xf numFmtId="0" fontId="40" fillId="0" borderId="33" xfId="45" applyFont="1" applyBorder="1"/>
    <xf numFmtId="0" fontId="4" fillId="0" borderId="19" xfId="45" applyBorder="1"/>
    <xf numFmtId="2" fontId="34" fillId="24" borderId="0" xfId="45" applyNumberFormat="1" applyFont="1" applyFill="1" applyBorder="1" applyAlignment="1">
      <alignment vertical="top"/>
    </xf>
    <xf numFmtId="0" fontId="24" fillId="0" borderId="33" xfId="45" applyFont="1" applyBorder="1" applyAlignment="1">
      <alignment horizontal="center" vertical="top"/>
    </xf>
    <xf numFmtId="2" fontId="24" fillId="0" borderId="33" xfId="45" applyNumberFormat="1" applyFont="1" applyBorder="1" applyAlignment="1">
      <alignment horizontal="left" vertical="top" wrapText="1"/>
    </xf>
    <xf numFmtId="1" fontId="24" fillId="0" borderId="33" xfId="45" applyNumberFormat="1" applyFont="1" applyBorder="1" applyAlignment="1">
      <alignment horizontal="center" vertical="top" wrapText="1"/>
    </xf>
    <xf numFmtId="2" fontId="24" fillId="0" borderId="33" xfId="45" applyNumberFormat="1" applyFont="1" applyBorder="1" applyAlignment="1">
      <alignment horizontal="center" vertical="top" wrapText="1"/>
    </xf>
    <xf numFmtId="44" fontId="24" fillId="0" borderId="33" xfId="55" applyFont="1" applyBorder="1" applyAlignment="1">
      <alignment horizontal="center" vertical="top"/>
    </xf>
    <xf numFmtId="164" fontId="24" fillId="0" borderId="33" xfId="45" applyNumberFormat="1" applyFont="1" applyBorder="1" applyAlignment="1">
      <alignment vertical="top"/>
    </xf>
    <xf numFmtId="0" fontId="24" fillId="24" borderId="19" xfId="45" applyFont="1" applyFill="1" applyBorder="1" applyAlignment="1">
      <alignment vertical="top"/>
    </xf>
    <xf numFmtId="0" fontId="41" fillId="0" borderId="36" xfId="45" applyFont="1" applyBorder="1" applyAlignment="1">
      <alignment horizontal="left" vertical="top"/>
    </xf>
    <xf numFmtId="165" fontId="25" fillId="0" borderId="39" xfId="55" applyNumberFormat="1" applyFont="1" applyFill="1" applyBorder="1" applyAlignment="1">
      <alignment horizontal="center" vertical="top"/>
    </xf>
    <xf numFmtId="165" fontId="24" fillId="24" borderId="10" xfId="55" applyNumberFormat="1" applyFont="1" applyFill="1" applyBorder="1" applyAlignment="1" applyProtection="1">
      <alignment horizontal="center" vertical="top"/>
    </xf>
    <xf numFmtId="0" fontId="41" fillId="0" borderId="12" xfId="45" applyFont="1" applyBorder="1" applyAlignment="1">
      <alignment horizontal="left" vertical="top"/>
    </xf>
    <xf numFmtId="1" fontId="24" fillId="0" borderId="24" xfId="45" applyNumberFormat="1" applyFont="1" applyFill="1" applyBorder="1" applyAlignment="1">
      <alignment horizontal="center" vertical="top"/>
    </xf>
    <xf numFmtId="2" fontId="32" fillId="0" borderId="10" xfId="45" applyNumberFormat="1" applyFont="1" applyFill="1" applyBorder="1" applyAlignment="1">
      <alignment horizontal="left" vertical="top" wrapText="1"/>
    </xf>
    <xf numFmtId="0" fontId="24" fillId="0" borderId="10" xfId="45" applyFont="1" applyFill="1" applyBorder="1" applyAlignment="1" applyProtection="1">
      <alignment horizontal="center" vertical="top" wrapText="1"/>
    </xf>
    <xf numFmtId="0" fontId="24" fillId="0" borderId="10" xfId="45" applyFont="1" applyFill="1" applyBorder="1" applyAlignment="1" applyProtection="1">
      <alignment horizontal="center" vertical="top"/>
    </xf>
    <xf numFmtId="1" fontId="24" fillId="0" borderId="13" xfId="45" applyNumberFormat="1" applyFont="1" applyFill="1" applyBorder="1" applyAlignment="1" applyProtection="1">
      <alignment horizontal="right" vertical="top"/>
    </xf>
    <xf numFmtId="2" fontId="31" fillId="31" borderId="22" xfId="0" applyNumberFormat="1" applyFont="1" applyFill="1" applyBorder="1" applyAlignment="1">
      <alignment horizontal="left" vertical="top"/>
    </xf>
    <xf numFmtId="2" fontId="31" fillId="31" borderId="15" xfId="0" applyNumberFormat="1" applyFont="1" applyFill="1" applyBorder="1" applyAlignment="1">
      <alignment horizontal="left" vertical="top"/>
    </xf>
    <xf numFmtId="2" fontId="31" fillId="31" borderId="15" xfId="0" applyNumberFormat="1" applyFont="1" applyFill="1" applyBorder="1" applyAlignment="1">
      <alignment vertical="top"/>
    </xf>
    <xf numFmtId="2" fontId="31" fillId="31" borderId="15" xfId="45" applyNumberFormat="1" applyFont="1" applyFill="1" applyBorder="1" applyAlignment="1">
      <alignment horizontal="center" vertical="top"/>
    </xf>
    <xf numFmtId="2" fontId="28" fillId="31" borderId="15" xfId="45" applyNumberFormat="1" applyFont="1" applyFill="1" applyBorder="1" applyAlignment="1">
      <alignment horizontal="center" vertical="top"/>
    </xf>
    <xf numFmtId="44" fontId="28" fillId="31" borderId="15" xfId="55" applyFont="1" applyFill="1" applyBorder="1" applyAlignment="1">
      <alignment horizontal="center" vertical="top"/>
    </xf>
    <xf numFmtId="2" fontId="31" fillId="31" borderId="28" xfId="45" applyNumberFormat="1" applyFont="1" applyFill="1" applyBorder="1" applyAlignment="1">
      <alignment horizontal="center" vertical="top"/>
    </xf>
    <xf numFmtId="0" fontId="26" fillId="31" borderId="22" xfId="45" applyFont="1" applyFill="1" applyBorder="1" applyAlignment="1" applyProtection="1">
      <alignment horizontal="center" vertical="top" wrapText="1"/>
    </xf>
    <xf numFmtId="1" fontId="26" fillId="31" borderId="15" xfId="45" applyNumberFormat="1" applyFont="1" applyFill="1" applyBorder="1" applyAlignment="1" applyProtection="1">
      <alignment horizontal="center" vertical="top" wrapText="1"/>
    </xf>
    <xf numFmtId="0" fontId="26" fillId="31" borderId="15" xfId="45" applyFont="1" applyFill="1" applyBorder="1" applyAlignment="1" applyProtection="1">
      <alignment horizontal="center" vertical="top" wrapText="1"/>
    </xf>
    <xf numFmtId="164" fontId="26" fillId="31" borderId="28" xfId="45" applyNumberFormat="1" applyFont="1" applyFill="1" applyBorder="1" applyAlignment="1" applyProtection="1">
      <alignment horizontal="center" vertical="top" wrapText="1"/>
    </xf>
    <xf numFmtId="44" fontId="24" fillId="32" borderId="15" xfId="55" applyFont="1" applyFill="1" applyBorder="1" applyAlignment="1">
      <alignment horizontal="center" vertical="top"/>
    </xf>
    <xf numFmtId="166" fontId="25" fillId="32" borderId="28" xfId="45" applyNumberFormat="1" applyFont="1" applyFill="1" applyBorder="1" applyAlignment="1" applyProtection="1">
      <alignment horizontal="center" vertical="top"/>
    </xf>
    <xf numFmtId="1" fontId="26" fillId="31" borderId="37" xfId="45" applyNumberFormat="1" applyFont="1" applyFill="1" applyBorder="1" applyAlignment="1">
      <alignment horizontal="left" vertical="top"/>
    </xf>
    <xf numFmtId="0" fontId="28" fillId="31" borderId="11" xfId="45" applyFont="1" applyFill="1" applyBorder="1" applyAlignment="1">
      <alignment horizontal="center" vertical="top"/>
    </xf>
    <xf numFmtId="2" fontId="28" fillId="31" borderId="11" xfId="45" applyNumberFormat="1" applyFont="1" applyFill="1" applyBorder="1" applyAlignment="1">
      <alignment horizontal="left" vertical="top" wrapText="1"/>
    </xf>
    <xf numFmtId="1" fontId="28" fillId="31" borderId="11" xfId="45" applyNumberFormat="1" applyFont="1" applyFill="1" applyBorder="1" applyAlignment="1">
      <alignment horizontal="center" vertical="top"/>
    </xf>
    <xf numFmtId="2" fontId="28" fillId="31" borderId="11" xfId="45" applyNumberFormat="1" applyFont="1" applyFill="1" applyBorder="1" applyAlignment="1">
      <alignment horizontal="center" vertical="top" wrapText="1"/>
    </xf>
    <xf numFmtId="2" fontId="30" fillId="31" borderId="11" xfId="54" applyNumberFormat="1" applyFont="1" applyFill="1" applyBorder="1" applyAlignment="1">
      <alignment horizontal="left" vertical="top"/>
    </xf>
    <xf numFmtId="44" fontId="28" fillId="31" borderId="11" xfId="55" applyFont="1" applyFill="1" applyBorder="1" applyAlignment="1">
      <alignment horizontal="center" vertical="top"/>
    </xf>
    <xf numFmtId="165" fontId="26" fillId="31" borderId="38" xfId="45" applyNumberFormat="1" applyFont="1" applyFill="1" applyBorder="1" applyAlignment="1">
      <alignment horizontal="left" vertical="top"/>
    </xf>
    <xf numFmtId="1" fontId="25" fillId="32" borderId="22" xfId="45" applyNumberFormat="1" applyFont="1" applyFill="1" applyBorder="1" applyAlignment="1">
      <alignment horizontal="left" vertical="top"/>
    </xf>
    <xf numFmtId="1" fontId="25" fillId="32" borderId="15" xfId="45" applyNumberFormat="1" applyFont="1" applyFill="1" applyBorder="1" applyAlignment="1">
      <alignment horizontal="left" vertical="top"/>
    </xf>
    <xf numFmtId="0" fontId="24" fillId="32" borderId="15" xfId="45" applyFont="1" applyFill="1" applyBorder="1" applyAlignment="1">
      <alignment horizontal="left" vertical="top" wrapText="1"/>
    </xf>
    <xf numFmtId="1" fontId="24" fillId="32" borderId="15" xfId="45" applyNumberFormat="1" applyFont="1" applyFill="1" applyBorder="1" applyAlignment="1">
      <alignment horizontal="center" vertical="top"/>
    </xf>
    <xf numFmtId="41" fontId="24" fillId="32" borderId="15" xfId="45" applyNumberFormat="1" applyFont="1" applyFill="1" applyBorder="1" applyAlignment="1">
      <alignment horizontal="right" vertical="top"/>
    </xf>
    <xf numFmtId="0" fontId="24" fillId="32" borderId="15" xfId="45" applyFont="1" applyFill="1" applyBorder="1" applyAlignment="1">
      <alignment horizontal="center" vertical="top"/>
    </xf>
    <xf numFmtId="165" fontId="25" fillId="32" borderId="15" xfId="45" applyNumberFormat="1" applyFont="1" applyFill="1" applyBorder="1" applyAlignment="1">
      <alignment horizontal="left" vertical="top"/>
    </xf>
    <xf numFmtId="1" fontId="26" fillId="31" borderId="44" xfId="45" applyNumberFormat="1" applyFont="1" applyFill="1" applyBorder="1" applyAlignment="1">
      <alignment horizontal="left" vertical="top"/>
    </xf>
    <xf numFmtId="0" fontId="28" fillId="31" borderId="0" xfId="45" applyFont="1" applyFill="1" applyBorder="1" applyAlignment="1">
      <alignment horizontal="center" vertical="top"/>
    </xf>
    <xf numFmtId="2" fontId="28" fillId="31" borderId="0" xfId="45" applyNumberFormat="1" applyFont="1" applyFill="1" applyBorder="1" applyAlignment="1">
      <alignment horizontal="left" vertical="top" wrapText="1"/>
    </xf>
    <xf numFmtId="1" fontId="28" fillId="31" borderId="0" xfId="45" applyNumberFormat="1" applyFont="1" applyFill="1" applyBorder="1" applyAlignment="1">
      <alignment horizontal="center" vertical="top"/>
    </xf>
    <xf numFmtId="2" fontId="28" fillId="31" borderId="0" xfId="45" applyNumberFormat="1" applyFont="1" applyFill="1" applyBorder="1" applyAlignment="1">
      <alignment horizontal="center" vertical="top" wrapText="1"/>
    </xf>
    <xf numFmtId="2" fontId="30" fillId="31" borderId="0" xfId="54" applyNumberFormat="1" applyFont="1" applyFill="1" applyBorder="1" applyAlignment="1">
      <alignment horizontal="left" vertical="top"/>
    </xf>
    <xf numFmtId="44" fontId="28" fillId="31" borderId="0" xfId="55" applyFont="1" applyFill="1" applyBorder="1" applyAlignment="1">
      <alignment horizontal="center" vertical="top"/>
    </xf>
    <xf numFmtId="165" fontId="26" fillId="31" borderId="18" xfId="45" applyNumberFormat="1" applyFont="1" applyFill="1" applyBorder="1" applyAlignment="1">
      <alignment horizontal="left" vertical="top"/>
    </xf>
    <xf numFmtId="10" fontId="26" fillId="30" borderId="39" xfId="57" applyNumberFormat="1" applyFont="1" applyFill="1" applyBorder="1" applyAlignment="1">
      <alignment horizontal="center" vertical="top"/>
    </xf>
    <xf numFmtId="10" fontId="26" fillId="31" borderId="17" xfId="57" applyNumberFormat="1" applyFont="1" applyFill="1" applyBorder="1" applyAlignment="1">
      <alignment horizontal="center" vertical="top"/>
    </xf>
    <xf numFmtId="2" fontId="43" fillId="31" borderId="43" xfId="45" applyNumberFormat="1" applyFont="1" applyFill="1" applyBorder="1" applyAlignment="1">
      <alignment horizontal="left" vertical="top"/>
    </xf>
    <xf numFmtId="0" fontId="43" fillId="31" borderId="11" xfId="45" applyFont="1" applyFill="1" applyBorder="1" applyAlignment="1">
      <alignment vertical="top"/>
    </xf>
    <xf numFmtId="14" fontId="28" fillId="31" borderId="35" xfId="45" applyNumberFormat="1" applyFont="1" applyFill="1" applyBorder="1" applyAlignment="1">
      <alignment vertical="top"/>
    </xf>
    <xf numFmtId="2" fontId="43" fillId="31" borderId="36" xfId="45" applyNumberFormat="1" applyFont="1" applyFill="1" applyBorder="1" applyAlignment="1">
      <alignment horizontal="left" vertical="top"/>
    </xf>
    <xf numFmtId="0" fontId="43" fillId="31" borderId="33" xfId="45" applyFont="1" applyFill="1" applyBorder="1" applyAlignment="1">
      <alignment vertical="top"/>
    </xf>
    <xf numFmtId="14" fontId="28" fillId="31" borderId="19" xfId="45" applyNumberFormat="1" applyFont="1" applyFill="1" applyBorder="1" applyAlignment="1">
      <alignment vertical="top"/>
    </xf>
    <xf numFmtId="0" fontId="43" fillId="31" borderId="36" xfId="45" applyFont="1" applyFill="1" applyBorder="1" applyAlignment="1">
      <alignment vertical="top"/>
    </xf>
    <xf numFmtId="0" fontId="37" fillId="31" borderId="33" xfId="45" applyFont="1" applyFill="1" applyBorder="1" applyAlignment="1">
      <alignment vertical="top" wrapText="1"/>
    </xf>
    <xf numFmtId="164" fontId="37" fillId="31" borderId="19" xfId="45" applyNumberFormat="1" applyFont="1" applyFill="1" applyBorder="1" applyAlignment="1">
      <alignment vertical="top"/>
    </xf>
    <xf numFmtId="2" fontId="43" fillId="31" borderId="39" xfId="45" applyNumberFormat="1" applyFont="1" applyFill="1" applyBorder="1" applyAlignment="1">
      <alignment horizontal="left" vertical="top"/>
    </xf>
    <xf numFmtId="49" fontId="35" fillId="0" borderId="43" xfId="45" applyNumberFormat="1" applyFont="1" applyBorder="1" applyAlignment="1">
      <alignment horizontal="center" vertical="top" wrapText="1"/>
    </xf>
    <xf numFmtId="0" fontId="36" fillId="0" borderId="11" xfId="45" applyFont="1" applyBorder="1" applyAlignment="1">
      <alignment vertical="top" wrapText="1"/>
    </xf>
    <xf numFmtId="166" fontId="36" fillId="24" borderId="35" xfId="45" applyNumberFormat="1" applyFont="1" applyFill="1" applyBorder="1" applyAlignment="1" applyProtection="1">
      <alignment horizontal="left" vertical="top"/>
    </xf>
    <xf numFmtId="49" fontId="35" fillId="0" borderId="36" xfId="45" applyNumberFormat="1" applyFont="1" applyBorder="1" applyAlignment="1">
      <alignment horizontal="center" vertical="top" wrapText="1"/>
    </xf>
    <xf numFmtId="0" fontId="36" fillId="0" borderId="33" xfId="45" applyFont="1" applyBorder="1" applyAlignment="1">
      <alignment vertical="top" wrapText="1"/>
    </xf>
    <xf numFmtId="166" fontId="36" fillId="24" borderId="19" xfId="45" applyNumberFormat="1" applyFont="1" applyFill="1" applyBorder="1" applyAlignment="1" applyProtection="1">
      <alignment horizontal="left" vertical="top"/>
    </xf>
    <xf numFmtId="0" fontId="37" fillId="31" borderId="36" xfId="45" applyFont="1" applyFill="1" applyBorder="1" applyAlignment="1">
      <alignment vertical="top"/>
    </xf>
    <xf numFmtId="166" fontId="25" fillId="32" borderId="17" xfId="45" applyNumberFormat="1" applyFont="1" applyFill="1" applyBorder="1" applyAlignment="1" applyProtection="1">
      <alignment horizontal="center" vertical="top"/>
    </xf>
    <xf numFmtId="10" fontId="26" fillId="30" borderId="43" xfId="57" applyNumberFormat="1" applyFont="1" applyFill="1" applyBorder="1" applyAlignment="1">
      <alignment horizontal="center" vertical="top"/>
    </xf>
    <xf numFmtId="10" fontId="26" fillId="31" borderId="22" xfId="57" applyNumberFormat="1" applyFont="1" applyFill="1" applyBorder="1" applyAlignment="1">
      <alignment horizontal="center" vertical="top"/>
    </xf>
    <xf numFmtId="165" fontId="26" fillId="31" borderId="32" xfId="45" applyNumberFormat="1" applyFont="1" applyFill="1" applyBorder="1" applyAlignment="1">
      <alignment horizontal="left" vertical="top"/>
    </xf>
    <xf numFmtId="165" fontId="26" fillId="31" borderId="39" xfId="45" applyNumberFormat="1" applyFont="1" applyFill="1" applyBorder="1" applyAlignment="1">
      <alignment horizontal="left" vertical="top"/>
    </xf>
    <xf numFmtId="1" fontId="25" fillId="32" borderId="43" xfId="45" applyNumberFormat="1" applyFont="1" applyFill="1" applyBorder="1" applyAlignment="1">
      <alignment horizontal="left" vertical="top"/>
    </xf>
    <xf numFmtId="1" fontId="25" fillId="32" borderId="11" xfId="45" applyNumberFormat="1" applyFont="1" applyFill="1" applyBorder="1" applyAlignment="1">
      <alignment horizontal="left" vertical="top"/>
    </xf>
    <xf numFmtId="0" fontId="24" fillId="32" borderId="11" xfId="45" applyFont="1" applyFill="1" applyBorder="1" applyAlignment="1">
      <alignment horizontal="left" vertical="top" wrapText="1"/>
    </xf>
    <xf numFmtId="1" fontId="24" fillId="32" borderId="11" xfId="45" applyNumberFormat="1" applyFont="1" applyFill="1" applyBorder="1" applyAlignment="1">
      <alignment horizontal="center" vertical="top"/>
    </xf>
    <xf numFmtId="41" fontId="24" fillId="32" borderId="11" xfId="45" applyNumberFormat="1" applyFont="1" applyFill="1" applyBorder="1" applyAlignment="1">
      <alignment horizontal="right" vertical="top"/>
    </xf>
    <xf numFmtId="0" fontId="24" fillId="32" borderId="11" xfId="45" applyFont="1" applyFill="1" applyBorder="1" applyAlignment="1">
      <alignment horizontal="center" vertical="top"/>
    </xf>
    <xf numFmtId="44" fontId="24" fillId="32" borderId="11" xfId="55" applyFont="1" applyFill="1" applyBorder="1" applyAlignment="1">
      <alignment horizontal="center" vertical="top"/>
    </xf>
    <xf numFmtId="165" fontId="25" fillId="32" borderId="11" xfId="45" applyNumberFormat="1" applyFont="1" applyFill="1" applyBorder="1" applyAlignment="1">
      <alignment horizontal="left" vertical="top"/>
    </xf>
    <xf numFmtId="166" fontId="25" fillId="32" borderId="35" xfId="45" applyNumberFormat="1" applyFont="1" applyFill="1" applyBorder="1" applyAlignment="1" applyProtection="1">
      <alignment horizontal="center" vertical="top"/>
    </xf>
    <xf numFmtId="0" fontId="41" fillId="0" borderId="43" xfId="45" applyFont="1" applyBorder="1" applyAlignment="1">
      <alignment horizontal="left" vertical="top"/>
    </xf>
    <xf numFmtId="0" fontId="24" fillId="0" borderId="11" xfId="45" applyFont="1" applyBorder="1" applyAlignment="1">
      <alignment horizontal="center" vertical="top"/>
    </xf>
    <xf numFmtId="2" fontId="24" fillId="0" borderId="11" xfId="45" applyNumberFormat="1" applyFont="1" applyBorder="1" applyAlignment="1">
      <alignment horizontal="left" vertical="top" wrapText="1"/>
    </xf>
    <xf numFmtId="1" fontId="24" fillId="0" borderId="11" xfId="45" applyNumberFormat="1" applyFont="1" applyBorder="1" applyAlignment="1">
      <alignment horizontal="center" vertical="top" wrapText="1"/>
    </xf>
    <xf numFmtId="2" fontId="24" fillId="0" borderId="11" xfId="45" applyNumberFormat="1" applyFont="1" applyBorder="1" applyAlignment="1">
      <alignment horizontal="center" vertical="top" wrapText="1"/>
    </xf>
    <xf numFmtId="44" fontId="24" fillId="0" borderId="11" xfId="55" applyFont="1" applyBorder="1" applyAlignment="1">
      <alignment horizontal="center" vertical="top"/>
    </xf>
    <xf numFmtId="164" fontId="24" fillId="0" borderId="11" xfId="45" applyNumberFormat="1" applyFont="1" applyBorder="1" applyAlignment="1">
      <alignment vertical="top"/>
    </xf>
    <xf numFmtId="2" fontId="24" fillId="0" borderId="13" xfId="45" applyNumberFormat="1" applyFont="1" applyFill="1" applyBorder="1" applyAlignment="1">
      <alignment horizontal="center" vertical="top"/>
    </xf>
    <xf numFmtId="171" fontId="24" fillId="0" borderId="10" xfId="45" applyNumberFormat="1" applyFont="1" applyFill="1" applyBorder="1" applyAlignment="1">
      <alignment horizontal="center" vertical="top"/>
    </xf>
    <xf numFmtId="172" fontId="44" fillId="24" borderId="10" xfId="45" applyNumberFormat="1" applyFont="1" applyFill="1" applyBorder="1" applyAlignment="1" applyProtection="1">
      <alignment horizontal="center" vertical="top" wrapText="1"/>
    </xf>
    <xf numFmtId="44" fontId="24" fillId="0" borderId="10" xfId="55" applyNumberFormat="1" applyFont="1" applyFill="1" applyBorder="1" applyAlignment="1" applyProtection="1">
      <alignment horizontal="center" vertical="top"/>
    </xf>
    <xf numFmtId="2" fontId="25" fillId="25" borderId="22" xfId="45" applyNumberFormat="1" applyFont="1" applyFill="1" applyBorder="1" applyAlignment="1">
      <alignment horizontal="left" vertical="top" wrapText="1"/>
    </xf>
    <xf numFmtId="1" fontId="24" fillId="25" borderId="28" xfId="45" applyNumberFormat="1" applyFont="1" applyFill="1" applyBorder="1" applyAlignment="1">
      <alignment horizontal="center" vertical="top"/>
    </xf>
    <xf numFmtId="2" fontId="45" fillId="0" borderId="26" xfId="45" applyNumberFormat="1" applyFont="1" applyFill="1" applyBorder="1" applyAlignment="1">
      <alignment horizontal="left" vertical="top" wrapText="1"/>
    </xf>
    <xf numFmtId="44" fontId="24" fillId="29" borderId="10" xfId="55" applyFont="1" applyFill="1" applyBorder="1" applyAlignment="1" applyProtection="1">
      <alignment horizontal="center" vertical="top"/>
    </xf>
    <xf numFmtId="14" fontId="32" fillId="24" borderId="35" xfId="45" applyNumberFormat="1" applyFont="1" applyFill="1" applyBorder="1" applyAlignment="1">
      <alignment horizontal="left" vertical="top"/>
    </xf>
    <xf numFmtId="2" fontId="3" fillId="24" borderId="43" xfId="0" applyNumberFormat="1" applyFont="1" applyFill="1" applyBorder="1" applyAlignment="1">
      <alignment horizontal="left" vertical="top"/>
    </xf>
    <xf numFmtId="0" fontId="24" fillId="24" borderId="35" xfId="0" applyFont="1" applyFill="1" applyBorder="1" applyAlignment="1">
      <alignment horizontal="center" vertical="top"/>
    </xf>
    <xf numFmtId="0" fontId="25" fillId="24" borderId="11" xfId="0" applyFont="1" applyFill="1" applyBorder="1" applyAlignment="1">
      <alignment horizontal="left" vertical="top"/>
    </xf>
    <xf numFmtId="0" fontId="25" fillId="24" borderId="36" xfId="0" applyFont="1" applyFill="1" applyBorder="1" applyAlignment="1" applyProtection="1">
      <alignment horizontal="left" vertical="top"/>
    </xf>
    <xf numFmtId="0" fontId="24" fillId="24" borderId="19" xfId="0" applyFont="1" applyFill="1" applyBorder="1" applyAlignment="1" applyProtection="1">
      <alignment horizontal="center" vertical="top"/>
    </xf>
    <xf numFmtId="165" fontId="25" fillId="24" borderId="33" xfId="55" applyNumberFormat="1" applyFont="1" applyFill="1" applyBorder="1" applyAlignment="1" applyProtection="1">
      <alignment horizontal="left" vertical="top"/>
    </xf>
    <xf numFmtId="0" fontId="24" fillId="24" borderId="33" xfId="45" applyFont="1" applyFill="1" applyBorder="1" applyAlignment="1">
      <alignment vertical="top"/>
    </xf>
    <xf numFmtId="2" fontId="3" fillId="24" borderId="33" xfId="45" applyNumberFormat="1" applyFont="1" applyFill="1" applyBorder="1" applyAlignment="1">
      <alignment vertical="top"/>
    </xf>
    <xf numFmtId="2" fontId="25" fillId="24" borderId="33" xfId="45" applyNumberFormat="1" applyFont="1" applyFill="1" applyBorder="1" applyAlignment="1">
      <alignment horizontal="left" vertical="top"/>
    </xf>
    <xf numFmtId="2" fontId="27" fillId="24" borderId="33" xfId="54" applyNumberFormat="1" applyFill="1" applyBorder="1" applyAlignment="1">
      <alignment horizontal="center" vertical="top"/>
    </xf>
    <xf numFmtId="2" fontId="27" fillId="24" borderId="19" xfId="54" applyNumberFormat="1" applyFill="1" applyBorder="1" applyAlignment="1">
      <alignment horizontal="center" vertical="top"/>
    </xf>
    <xf numFmtId="0" fontId="4" fillId="24" borderId="43" xfId="45" applyFill="1" applyBorder="1"/>
    <xf numFmtId="0" fontId="4" fillId="24" borderId="11" xfId="45" applyFill="1" applyBorder="1"/>
    <xf numFmtId="0" fontId="4" fillId="24" borderId="12" xfId="45" applyFill="1" applyBorder="1"/>
    <xf numFmtId="0" fontId="4" fillId="24" borderId="0" xfId="45" applyFill="1" applyBorder="1"/>
    <xf numFmtId="0" fontId="4" fillId="24" borderId="36" xfId="45" applyFill="1" applyBorder="1"/>
    <xf numFmtId="2" fontId="32" fillId="0" borderId="27" xfId="45" applyNumberFormat="1" applyFont="1" applyFill="1" applyBorder="1" applyAlignment="1">
      <alignment horizontal="left" vertical="top" wrapText="1"/>
    </xf>
    <xf numFmtId="1" fontId="24" fillId="0" borderId="27" xfId="45" applyNumberFormat="1" applyFont="1" applyFill="1" applyBorder="1" applyAlignment="1">
      <alignment horizontal="center" vertical="top"/>
    </xf>
    <xf numFmtId="0" fontId="32" fillId="24" borderId="14" xfId="45" applyFont="1" applyFill="1" applyBorder="1" applyAlignment="1" applyProtection="1">
      <alignment horizontal="center" vertical="top" wrapText="1"/>
    </xf>
    <xf numFmtId="172" fontId="25" fillId="24" borderId="10" xfId="45" applyNumberFormat="1" applyFont="1" applyFill="1" applyBorder="1" applyAlignment="1" applyProtection="1">
      <alignment horizontal="center" vertical="top" wrapText="1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urrency 2" xfId="50"/>
    <cellStyle name="Currency 3" xfId="55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54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3" xfId="51"/>
    <cellStyle name="Normal 5" xfId="49"/>
    <cellStyle name="Note" xfId="38" builtinId="10" customBuiltin="1"/>
    <cellStyle name="Output" xfId="39" builtinId="21" customBuiltin="1"/>
    <cellStyle name="Percent" xfId="57" builtinId="5"/>
    <cellStyle name="Percent 2" xfId="56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50101"/>
      <color rgb="FFFF512C"/>
      <color rgb="FFF55D61"/>
      <color rgb="FFFED2DC"/>
      <color rgb="FFD5D5D5"/>
      <color rgb="FFB94517"/>
      <color rgb="FFFE9494"/>
      <color rgb="FFF3F3F3"/>
      <color rgb="FFCE2008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5"/>
  <sheetViews>
    <sheetView showGridLines="0" tabSelected="1" view="pageBreakPreview" zoomScaleNormal="100" zoomScaleSheetLayoutView="100" workbookViewId="0">
      <selection activeCell="G21" sqref="G21"/>
    </sheetView>
  </sheetViews>
  <sheetFormatPr defaultRowHeight="15" x14ac:dyDescent="0.2"/>
  <cols>
    <col min="1" max="1" width="8.88671875" style="110"/>
    <col min="2" max="2" width="20.21875" style="110" customWidth="1"/>
    <col min="3" max="3" width="41.44140625" style="110" customWidth="1"/>
    <col min="4" max="4" width="25.109375" style="110" customWidth="1"/>
    <col min="5" max="5" width="8.88671875" style="110"/>
    <col min="6" max="6" width="10.5546875" style="110" bestFit="1" customWidth="1"/>
    <col min="7" max="16384" width="8.88671875" style="110"/>
  </cols>
  <sheetData>
    <row r="1" spans="1:14" ht="15.75" x14ac:dyDescent="0.2">
      <c r="A1" s="241"/>
      <c r="B1" s="242"/>
      <c r="C1" s="22"/>
      <c r="D1" s="108"/>
      <c r="E1" s="109"/>
    </row>
    <row r="2" spans="1:14" ht="15.75" x14ac:dyDescent="0.2">
      <c r="A2" s="243"/>
      <c r="B2" s="244"/>
      <c r="C2" s="25"/>
      <c r="D2" s="128"/>
      <c r="E2" s="102"/>
    </row>
    <row r="3" spans="1:14" ht="18" customHeight="1" x14ac:dyDescent="0.2">
      <c r="A3" s="243"/>
      <c r="B3" s="244"/>
      <c r="C3" s="25"/>
      <c r="D3" s="128"/>
      <c r="E3" s="102"/>
    </row>
    <row r="4" spans="1:14" ht="16.5" thickBot="1" x14ac:dyDescent="0.25">
      <c r="A4" s="112"/>
      <c r="B4" s="113"/>
      <c r="C4" s="74"/>
      <c r="D4" s="128"/>
      <c r="E4" s="102"/>
      <c r="F4" s="70"/>
      <c r="G4" s="101"/>
      <c r="H4" s="101"/>
      <c r="I4" s="113"/>
      <c r="J4" s="113"/>
      <c r="K4" s="113"/>
      <c r="L4" s="113"/>
    </row>
    <row r="5" spans="1:14" ht="15.75" x14ac:dyDescent="0.2">
      <c r="A5" s="112"/>
      <c r="B5" s="183" t="s">
        <v>5</v>
      </c>
      <c r="C5" s="184" t="s">
        <v>163</v>
      </c>
      <c r="D5" s="185"/>
      <c r="E5" s="114"/>
      <c r="F5" s="113"/>
      <c r="G5" s="113"/>
      <c r="H5" s="113"/>
      <c r="I5" s="113"/>
      <c r="J5" s="115"/>
      <c r="K5" s="115"/>
      <c r="L5" s="115"/>
      <c r="M5" s="115"/>
      <c r="N5" s="115"/>
    </row>
    <row r="6" spans="1:14" ht="16.5" thickBot="1" x14ac:dyDescent="0.25">
      <c r="A6" s="116"/>
      <c r="B6" s="186" t="s">
        <v>6</v>
      </c>
      <c r="C6" s="187" t="s">
        <v>163</v>
      </c>
      <c r="D6" s="188"/>
      <c r="E6" s="117"/>
      <c r="F6" s="113"/>
      <c r="G6" s="113"/>
      <c r="H6" s="113"/>
      <c r="I6" s="113"/>
      <c r="J6" s="115"/>
      <c r="K6" s="115"/>
      <c r="L6" s="115"/>
      <c r="M6" s="115"/>
      <c r="N6" s="115"/>
    </row>
    <row r="7" spans="1:14" ht="15.75" x14ac:dyDescent="0.2">
      <c r="A7" s="116"/>
      <c r="B7" s="118"/>
      <c r="C7" s="107" t="s">
        <v>32</v>
      </c>
      <c r="D7" s="120">
        <v>0</v>
      </c>
      <c r="E7" s="114"/>
      <c r="F7" s="113"/>
      <c r="G7" s="113"/>
      <c r="H7" s="113"/>
      <c r="I7" s="113"/>
      <c r="J7" s="115"/>
      <c r="K7" s="115"/>
      <c r="L7" s="115"/>
      <c r="M7" s="115"/>
      <c r="N7" s="115"/>
    </row>
    <row r="8" spans="1:14" ht="15.75" x14ac:dyDescent="0.2">
      <c r="A8" s="116"/>
      <c r="B8" s="118"/>
      <c r="C8" s="107" t="s">
        <v>28</v>
      </c>
      <c r="D8" s="120">
        <v>0</v>
      </c>
      <c r="E8" s="114"/>
      <c r="F8" s="113"/>
      <c r="G8" s="113"/>
      <c r="H8" s="113"/>
      <c r="I8" s="113"/>
      <c r="J8" s="115"/>
      <c r="K8" s="115"/>
      <c r="L8" s="115"/>
      <c r="M8" s="115"/>
      <c r="N8" s="115"/>
    </row>
    <row r="9" spans="1:14" ht="15.75" x14ac:dyDescent="0.2">
      <c r="A9" s="116"/>
      <c r="B9" s="118"/>
      <c r="C9" s="107" t="s">
        <v>29</v>
      </c>
      <c r="D9" s="120">
        <v>0</v>
      </c>
      <c r="E9" s="114"/>
      <c r="F9" s="113"/>
      <c r="G9" s="113"/>
      <c r="H9" s="113"/>
      <c r="I9" s="113"/>
      <c r="J9" s="115"/>
      <c r="K9" s="115"/>
      <c r="L9" s="115"/>
      <c r="M9" s="115"/>
      <c r="N9" s="115"/>
    </row>
    <row r="10" spans="1:14" ht="15.75" x14ac:dyDescent="0.2">
      <c r="A10" s="116"/>
      <c r="B10" s="118"/>
      <c r="C10" s="107" t="s">
        <v>30</v>
      </c>
      <c r="D10" s="120">
        <v>0</v>
      </c>
      <c r="E10" s="117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4" ht="16.5" thickBot="1" x14ac:dyDescent="0.25">
      <c r="A11" s="116"/>
      <c r="B11" s="189" t="s">
        <v>34</v>
      </c>
      <c r="C11" s="190"/>
      <c r="D11" s="191">
        <f>SUM(D7:D10)</f>
        <v>0</v>
      </c>
      <c r="E11" s="117"/>
      <c r="F11" s="113"/>
      <c r="G11" s="113"/>
      <c r="H11" s="113"/>
      <c r="I11" s="113"/>
      <c r="J11" s="115"/>
      <c r="K11" s="115"/>
      <c r="L11" s="115"/>
      <c r="M11" s="115"/>
      <c r="N11" s="115"/>
    </row>
    <row r="12" spans="1:14" ht="16.5" thickBot="1" x14ac:dyDescent="0.25">
      <c r="A12" s="243"/>
      <c r="B12" s="123"/>
      <c r="C12" s="111"/>
      <c r="D12" s="111"/>
      <c r="E12" s="122"/>
    </row>
    <row r="13" spans="1:14" ht="16.5" thickBot="1" x14ac:dyDescent="0.25">
      <c r="A13" s="112"/>
      <c r="B13" s="192" t="s">
        <v>37</v>
      </c>
      <c r="C13" s="111"/>
      <c r="D13" s="111"/>
      <c r="E13" s="114"/>
      <c r="F13" s="113"/>
      <c r="G13" s="113"/>
      <c r="H13" s="113"/>
      <c r="I13" s="113"/>
      <c r="J13" s="115"/>
      <c r="K13" s="115"/>
      <c r="L13" s="115"/>
      <c r="M13" s="115"/>
      <c r="N13" s="115"/>
    </row>
    <row r="14" spans="1:14" ht="15.75" x14ac:dyDescent="0.2">
      <c r="A14" s="116"/>
      <c r="B14" s="193"/>
      <c r="C14" s="194" t="s">
        <v>37</v>
      </c>
      <c r="D14" s="195">
        <f>'BUILDING CONCRETE'!C$5</f>
        <v>0</v>
      </c>
      <c r="E14" s="114"/>
      <c r="F14" s="113"/>
      <c r="G14" s="113"/>
      <c r="H14" s="113"/>
      <c r="I14" s="113"/>
      <c r="J14" s="115"/>
      <c r="K14" s="115"/>
      <c r="L14" s="115"/>
      <c r="M14" s="115"/>
      <c r="N14" s="115"/>
    </row>
    <row r="15" spans="1:14" ht="15.75" x14ac:dyDescent="0.2">
      <c r="A15" s="116"/>
      <c r="B15" s="118"/>
      <c r="C15" s="119"/>
      <c r="D15" s="120"/>
      <c r="E15" s="117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16.5" thickBot="1" x14ac:dyDescent="0.25">
      <c r="A16" s="116"/>
      <c r="B16" s="196"/>
      <c r="C16" s="197"/>
      <c r="D16" s="198"/>
      <c r="E16" s="114"/>
      <c r="F16" s="121"/>
      <c r="G16" s="113"/>
      <c r="H16" s="113"/>
      <c r="I16" s="113"/>
      <c r="J16" s="115"/>
      <c r="K16" s="115"/>
      <c r="L16" s="115"/>
      <c r="M16" s="115"/>
      <c r="N16" s="115"/>
    </row>
    <row r="17" spans="1:14" ht="16.5" thickBot="1" x14ac:dyDescent="0.25">
      <c r="A17" s="116"/>
      <c r="B17" s="199" t="s">
        <v>33</v>
      </c>
      <c r="C17" s="190"/>
      <c r="D17" s="191">
        <f>SUM(D14:D16)</f>
        <v>0</v>
      </c>
      <c r="E17" s="117"/>
      <c r="F17" s="113"/>
      <c r="G17" s="113"/>
      <c r="H17" s="113"/>
      <c r="I17" s="113"/>
      <c r="J17" s="115"/>
      <c r="K17" s="115"/>
      <c r="L17" s="115"/>
      <c r="M17" s="115"/>
      <c r="N17" s="115"/>
    </row>
    <row r="18" spans="1:14" ht="16.5" thickBot="1" x14ac:dyDescent="0.25">
      <c r="A18" s="243"/>
      <c r="B18" s="123"/>
      <c r="C18" s="111"/>
      <c r="D18" s="111"/>
      <c r="E18" s="122"/>
    </row>
    <row r="19" spans="1:14" ht="16.5" thickBot="1" x14ac:dyDescent="0.25">
      <c r="A19" s="112"/>
      <c r="B19" s="192" t="s">
        <v>42</v>
      </c>
      <c r="C19" s="111"/>
      <c r="D19" s="111"/>
      <c r="E19" s="114"/>
      <c r="F19" s="113"/>
      <c r="G19" s="113"/>
      <c r="H19" s="113"/>
      <c r="I19" s="113"/>
      <c r="J19" s="115"/>
      <c r="K19" s="115"/>
      <c r="L19" s="115"/>
      <c r="M19" s="115"/>
      <c r="N19" s="115"/>
    </row>
    <row r="20" spans="1:14" ht="15.75" x14ac:dyDescent="0.2">
      <c r="A20" s="116"/>
      <c r="B20" s="193"/>
      <c r="C20" s="194" t="s">
        <v>42</v>
      </c>
      <c r="D20" s="195">
        <f>'SITE CONCRETE'!C$5</f>
        <v>0</v>
      </c>
      <c r="E20" s="114"/>
      <c r="F20" s="113"/>
      <c r="G20" s="113"/>
      <c r="H20" s="113"/>
      <c r="I20" s="113"/>
      <c r="J20" s="115"/>
      <c r="K20" s="115"/>
      <c r="L20" s="115"/>
      <c r="M20" s="115"/>
      <c r="N20" s="115"/>
    </row>
    <row r="21" spans="1:14" ht="15.75" x14ac:dyDescent="0.2">
      <c r="A21" s="116"/>
      <c r="B21" s="118"/>
      <c r="C21" s="119"/>
      <c r="D21" s="120"/>
      <c r="E21" s="117"/>
      <c r="F21" s="115"/>
      <c r="G21" s="115"/>
      <c r="H21" s="115"/>
      <c r="I21" s="115"/>
      <c r="J21" s="115"/>
      <c r="K21" s="115"/>
      <c r="L21" s="115"/>
      <c r="M21" s="115"/>
      <c r="N21" s="115"/>
    </row>
    <row r="22" spans="1:14" ht="16.5" thickBot="1" x14ac:dyDescent="0.25">
      <c r="A22" s="116"/>
      <c r="B22" s="196"/>
      <c r="C22" s="197"/>
      <c r="D22" s="198"/>
      <c r="E22" s="114"/>
      <c r="F22" s="121"/>
      <c r="G22" s="113"/>
      <c r="H22" s="113"/>
      <c r="I22" s="113"/>
      <c r="J22" s="115"/>
      <c r="K22" s="115"/>
      <c r="L22" s="115"/>
      <c r="M22" s="115"/>
      <c r="N22" s="115"/>
    </row>
    <row r="23" spans="1:14" ht="16.5" thickBot="1" x14ac:dyDescent="0.25">
      <c r="A23" s="116"/>
      <c r="B23" s="199" t="s">
        <v>41</v>
      </c>
      <c r="C23" s="190"/>
      <c r="D23" s="191">
        <f>SUM(D20:D22)</f>
        <v>0</v>
      </c>
      <c r="E23" s="117"/>
      <c r="F23" s="113"/>
      <c r="G23" s="113"/>
      <c r="H23" s="113"/>
      <c r="I23" s="113"/>
      <c r="J23" s="115"/>
      <c r="K23" s="115"/>
      <c r="L23" s="115"/>
      <c r="M23" s="115"/>
      <c r="N23" s="115"/>
    </row>
    <row r="24" spans="1:14" ht="15.75" x14ac:dyDescent="0.2">
      <c r="A24" s="243"/>
      <c r="B24" s="123"/>
      <c r="C24" s="111"/>
      <c r="D24" s="111"/>
      <c r="E24" s="122"/>
    </row>
    <row r="25" spans="1:14" ht="15.75" thickBot="1" x14ac:dyDescent="0.25">
      <c r="A25" s="245"/>
      <c r="B25" s="124"/>
      <c r="C25" s="125"/>
      <c r="D25" s="126" t="s">
        <v>31</v>
      </c>
      <c r="E25" s="127"/>
    </row>
  </sheetData>
  <printOptions horizontalCentered="1" verticalCentered="1"/>
  <pageMargins left="1" right="1" top="1" bottom="1" header="0.5" footer="0.5"/>
  <pageSetup paperSize="9" scale="99" orientation="landscape" r:id="rId1"/>
  <headerFooter>
    <oddFooter xml:space="preserve">&amp;C&amp;P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14"/>
  <sheetViews>
    <sheetView showGridLines="0" view="pageBreakPreview" zoomScale="85" zoomScaleNormal="90" zoomScaleSheetLayoutView="85" workbookViewId="0">
      <pane ySplit="6" topLeftCell="A7" activePane="bottomLeft" state="frozen"/>
      <selection pane="bottomLeft" activeCell="E53" sqref="E53"/>
    </sheetView>
  </sheetViews>
  <sheetFormatPr defaultColWidth="9.6640625" defaultRowHeight="15.75" x14ac:dyDescent="0.2"/>
  <cols>
    <col min="1" max="1" width="5.6640625" style="64" customWidth="1"/>
    <col min="2" max="2" width="11.77734375" style="58" customWidth="1"/>
    <col min="3" max="3" width="14.6640625" style="58" customWidth="1"/>
    <col min="4" max="4" width="6.88671875" style="58" customWidth="1"/>
    <col min="5" max="5" width="44.77734375" style="59" customWidth="1"/>
    <col min="6" max="6" width="8.44140625" style="60" customWidth="1"/>
    <col min="7" max="7" width="8.109375" style="61" customWidth="1"/>
    <col min="8" max="8" width="7.88671875" style="61" customWidth="1"/>
    <col min="9" max="9" width="7.109375" style="58" customWidth="1"/>
    <col min="10" max="12" width="9.33203125" style="62" customWidth="1"/>
    <col min="13" max="13" width="11.44140625" style="63" customWidth="1"/>
    <col min="14" max="14" width="11.6640625" style="24" customWidth="1"/>
    <col min="15" max="15" width="12.88671875" style="57" bestFit="1" customWidth="1"/>
    <col min="16" max="16" width="10.77734375" style="57" bestFit="1" customWidth="1"/>
    <col min="17" max="16384" width="9.6640625" style="57"/>
  </cols>
  <sheetData>
    <row r="1" spans="1:16" s="19" customFormat="1" ht="16.5" thickBot="1" x14ac:dyDescent="0.25">
      <c r="A1" s="145" t="s">
        <v>5</v>
      </c>
      <c r="B1" s="146"/>
      <c r="C1" s="147" t="s">
        <v>163</v>
      </c>
      <c r="D1" s="147"/>
      <c r="E1" s="148"/>
      <c r="F1" s="149"/>
      <c r="G1" s="149"/>
      <c r="H1" s="149"/>
      <c r="I1" s="149"/>
      <c r="J1" s="150"/>
      <c r="K1" s="150"/>
      <c r="L1" s="150"/>
      <c r="M1" s="149"/>
      <c r="N1" s="151"/>
      <c r="O1" s="8"/>
      <c r="P1" s="8"/>
    </row>
    <row r="2" spans="1:16" s="8" customFormat="1" x14ac:dyDescent="0.2">
      <c r="A2" s="230" t="s">
        <v>6</v>
      </c>
      <c r="B2" s="231"/>
      <c r="C2" s="232" t="s">
        <v>163</v>
      </c>
      <c r="D2" s="232"/>
      <c r="E2" s="20"/>
      <c r="F2" s="21"/>
      <c r="G2" s="20"/>
      <c r="H2" s="20"/>
      <c r="I2" s="20"/>
      <c r="J2" s="20"/>
      <c r="K2" s="20"/>
      <c r="L2" s="21"/>
      <c r="M2" s="22"/>
      <c r="N2" s="229"/>
      <c r="O2" s="24"/>
    </row>
    <row r="3" spans="1:16" s="8" customFormat="1" x14ac:dyDescent="0.2">
      <c r="A3" s="2" t="s">
        <v>7</v>
      </c>
      <c r="B3" s="1"/>
      <c r="C3" s="3">
        <v>45126</v>
      </c>
      <c r="D3" s="3"/>
      <c r="E3" s="23"/>
      <c r="F3" s="24"/>
      <c r="G3" s="23"/>
      <c r="H3" s="23"/>
      <c r="I3" s="24"/>
      <c r="J3" s="24"/>
      <c r="K3" s="24"/>
      <c r="L3" s="24"/>
      <c r="M3" s="25"/>
      <c r="N3" s="75"/>
      <c r="O3" s="24"/>
    </row>
    <row r="4" spans="1:16" s="8" customFormat="1" x14ac:dyDescent="0.2">
      <c r="A4" s="2" t="s">
        <v>8</v>
      </c>
      <c r="B4" s="1"/>
      <c r="C4" s="3">
        <v>45090</v>
      </c>
      <c r="D4" s="3"/>
      <c r="E4" s="23"/>
      <c r="F4" s="77"/>
      <c r="G4" s="23"/>
      <c r="H4" s="23"/>
      <c r="I4" s="24"/>
      <c r="J4" s="24"/>
      <c r="K4" s="24"/>
      <c r="L4" s="25"/>
      <c r="M4" s="74"/>
      <c r="N4" s="76"/>
      <c r="O4" s="24"/>
    </row>
    <row r="5" spans="1:16" s="8" customFormat="1" ht="16.5" thickBot="1" x14ac:dyDescent="0.25">
      <c r="A5" s="233" t="s">
        <v>37</v>
      </c>
      <c r="B5" s="234"/>
      <c r="C5" s="235">
        <f>N$114</f>
        <v>0</v>
      </c>
      <c r="D5" s="235"/>
      <c r="E5" s="26"/>
      <c r="F5" s="236"/>
      <c r="G5" s="237"/>
      <c r="H5" s="237"/>
      <c r="I5" s="236"/>
      <c r="J5" s="236"/>
      <c r="K5" s="236"/>
      <c r="L5" s="238"/>
      <c r="M5" s="239"/>
      <c r="N5" s="240"/>
      <c r="O5" s="24"/>
    </row>
    <row r="6" spans="1:16" s="27" customFormat="1" ht="37.5" customHeight="1" thickBot="1" x14ac:dyDescent="0.25">
      <c r="A6" s="152" t="s">
        <v>9</v>
      </c>
      <c r="B6" s="153" t="s">
        <v>12</v>
      </c>
      <c r="C6" s="153" t="s">
        <v>13</v>
      </c>
      <c r="D6" s="153" t="s">
        <v>14</v>
      </c>
      <c r="E6" s="153" t="s">
        <v>1</v>
      </c>
      <c r="F6" s="153" t="s">
        <v>21</v>
      </c>
      <c r="G6" s="153" t="s">
        <v>2</v>
      </c>
      <c r="H6" s="153" t="s">
        <v>3</v>
      </c>
      <c r="I6" s="153" t="s">
        <v>0</v>
      </c>
      <c r="J6" s="153" t="s">
        <v>26</v>
      </c>
      <c r="K6" s="153" t="s">
        <v>27</v>
      </c>
      <c r="L6" s="153" t="s">
        <v>25</v>
      </c>
      <c r="M6" s="154" t="s">
        <v>4</v>
      </c>
      <c r="N6" s="155" t="s">
        <v>10</v>
      </c>
      <c r="P6" s="23"/>
    </row>
    <row r="7" spans="1:16" s="30" customFormat="1" ht="16.5" thickBot="1" x14ac:dyDescent="0.25">
      <c r="A7" s="28" t="str">
        <f>IF(F7&lt;&gt;"",1+MAX($A$6:A6),"")</f>
        <v/>
      </c>
      <c r="B7" s="67"/>
      <c r="C7" s="68"/>
      <c r="D7" s="65" t="s">
        <v>15</v>
      </c>
      <c r="E7" s="40" t="s">
        <v>16</v>
      </c>
      <c r="F7" s="41"/>
      <c r="G7" s="42"/>
      <c r="H7" s="42"/>
      <c r="I7" s="42"/>
      <c r="J7" s="43"/>
      <c r="K7" s="43"/>
      <c r="L7" s="87"/>
      <c r="M7" s="106"/>
      <c r="N7" s="29"/>
    </row>
    <row r="8" spans="1:16" s="8" customFormat="1" ht="16.5" thickBot="1" x14ac:dyDescent="0.25">
      <c r="A8" s="28" t="str">
        <f>IF(F8&lt;&gt;"",1+MAX($A$6:A7),"")</f>
        <v/>
      </c>
      <c r="B8" s="35"/>
      <c r="C8" s="54"/>
      <c r="D8" s="31"/>
      <c r="E8" s="225" t="s">
        <v>55</v>
      </c>
      <c r="F8" s="226"/>
      <c r="G8" s="32"/>
      <c r="H8" s="33"/>
      <c r="I8" s="34"/>
      <c r="J8" s="103"/>
      <c r="K8" s="103"/>
      <c r="L8" s="104"/>
      <c r="M8" s="105"/>
      <c r="N8" s="29"/>
    </row>
    <row r="9" spans="1:16" s="8" customFormat="1" ht="79.5" thickBot="1" x14ac:dyDescent="0.25">
      <c r="A9" s="28" t="str">
        <f>IF(F9&lt;&gt;"",1+MAX($A$6:A8),"")</f>
        <v/>
      </c>
      <c r="B9" s="35"/>
      <c r="C9" s="36"/>
      <c r="D9" s="36"/>
      <c r="E9" s="44" t="s">
        <v>105</v>
      </c>
      <c r="F9" s="140"/>
      <c r="G9" s="45"/>
      <c r="H9" s="16"/>
      <c r="I9" s="17"/>
      <c r="J9" s="46"/>
      <c r="K9" s="46"/>
      <c r="L9" s="83"/>
      <c r="M9" s="47"/>
      <c r="N9" s="29"/>
    </row>
    <row r="10" spans="1:16" s="8" customFormat="1" x14ac:dyDescent="0.2">
      <c r="A10" s="28">
        <f>IF(F10&lt;&gt;"",1+MAX($A$6:A9),"")</f>
        <v>1</v>
      </c>
      <c r="B10" s="35" t="s">
        <v>56</v>
      </c>
      <c r="C10" s="36" t="s">
        <v>57</v>
      </c>
      <c r="D10" s="6"/>
      <c r="E10" s="48" t="s">
        <v>113</v>
      </c>
      <c r="F10" s="38">
        <f>13*5*2.5/27</f>
        <v>6.0185185185185182</v>
      </c>
      <c r="G10" s="49">
        <v>7.0000000000000007E-2</v>
      </c>
      <c r="H10" s="16">
        <f>F10*(1+G10)</f>
        <v>6.4398148148148149</v>
      </c>
      <c r="I10" s="17" t="s">
        <v>17</v>
      </c>
      <c r="J10" s="66">
        <v>0</v>
      </c>
      <c r="K10" s="66">
        <v>0</v>
      </c>
      <c r="L10" s="86">
        <f>J10+K10</f>
        <v>0</v>
      </c>
      <c r="M10" s="39">
        <f>L10*H10</f>
        <v>0</v>
      </c>
      <c r="N10" s="29"/>
      <c r="O10" s="81"/>
      <c r="P10" s="81"/>
    </row>
    <row r="11" spans="1:16" s="8" customFormat="1" x14ac:dyDescent="0.2">
      <c r="A11" s="28">
        <f>IF(F11&lt;&gt;"",1+MAX($A$6:A10),"")</f>
        <v>2</v>
      </c>
      <c r="B11" s="35" t="s">
        <v>56</v>
      </c>
      <c r="C11" s="36" t="s">
        <v>57</v>
      </c>
      <c r="D11" s="6"/>
      <c r="E11" s="37" t="s">
        <v>114</v>
      </c>
      <c r="F11" s="38">
        <f>2.044*1.2*2*2*13*5*1.13/0.83</f>
        <v>868.23209638554215</v>
      </c>
      <c r="G11" s="49">
        <v>7.0000000000000007E-2</v>
      </c>
      <c r="H11" s="16">
        <f>F11*(1+G11)</f>
        <v>929.00834313253017</v>
      </c>
      <c r="I11" s="17" t="s">
        <v>18</v>
      </c>
      <c r="J11" s="66">
        <v>0</v>
      </c>
      <c r="K11" s="66">
        <v>0</v>
      </c>
      <c r="L11" s="86">
        <f>J11+K11</f>
        <v>0</v>
      </c>
      <c r="M11" s="39">
        <f>L11*H11</f>
        <v>0</v>
      </c>
      <c r="N11" s="29"/>
      <c r="O11" s="72"/>
    </row>
    <row r="12" spans="1:16" s="8" customFormat="1" x14ac:dyDescent="0.2">
      <c r="A12" s="28">
        <f>IF(F12&lt;&gt;"",1+MAX($A$6:A11),"")</f>
        <v>3</v>
      </c>
      <c r="B12" s="35" t="s">
        <v>56</v>
      </c>
      <c r="C12" s="36" t="s">
        <v>57</v>
      </c>
      <c r="D12" s="6"/>
      <c r="E12" s="37" t="s">
        <v>119</v>
      </c>
      <c r="F12" s="38">
        <f>2*18*2.5</f>
        <v>90</v>
      </c>
      <c r="G12" s="51">
        <v>7.0000000000000007E-2</v>
      </c>
      <c r="H12" s="16">
        <f>F12*(1+G12)</f>
        <v>96.300000000000011</v>
      </c>
      <c r="I12" s="17" t="s">
        <v>19</v>
      </c>
      <c r="J12" s="66">
        <v>0</v>
      </c>
      <c r="K12" s="66">
        <v>0</v>
      </c>
      <c r="L12" s="86">
        <f>J12+K12</f>
        <v>0</v>
      </c>
      <c r="M12" s="39">
        <f>L12*H12</f>
        <v>0</v>
      </c>
      <c r="N12" s="29"/>
      <c r="O12" s="72"/>
    </row>
    <row r="13" spans="1:16" s="8" customFormat="1" x14ac:dyDescent="0.2">
      <c r="A13" s="28">
        <f>IF(F13&lt;&gt;"",1+MAX($A$6:A12),"")</f>
        <v>4</v>
      </c>
      <c r="B13" s="35" t="s">
        <v>56</v>
      </c>
      <c r="C13" s="36" t="s">
        <v>57</v>
      </c>
      <c r="D13" s="6"/>
      <c r="E13" s="37" t="s">
        <v>35</v>
      </c>
      <c r="F13" s="38">
        <f>14*6*4.5/27</f>
        <v>14</v>
      </c>
      <c r="G13" s="51">
        <v>7.0000000000000007E-2</v>
      </c>
      <c r="H13" s="16">
        <f>F13*(1+G13)</f>
        <v>14.98</v>
      </c>
      <c r="I13" s="17" t="s">
        <v>17</v>
      </c>
      <c r="J13" s="66">
        <v>0</v>
      </c>
      <c r="K13" s="66">
        <v>0</v>
      </c>
      <c r="L13" s="86">
        <f>J13+K13</f>
        <v>0</v>
      </c>
      <c r="M13" s="39">
        <f>L13*H13</f>
        <v>0</v>
      </c>
      <c r="N13" s="29"/>
      <c r="O13" s="72"/>
    </row>
    <row r="14" spans="1:16" s="8" customFormat="1" x14ac:dyDescent="0.2">
      <c r="A14" s="28">
        <f>IF(F14&lt;&gt;"",1+MAX($A$6:A13),"")</f>
        <v>5</v>
      </c>
      <c r="B14" s="35" t="s">
        <v>56</v>
      </c>
      <c r="C14" s="36" t="s">
        <v>57</v>
      </c>
      <c r="D14" s="6"/>
      <c r="E14" s="37" t="s">
        <v>20</v>
      </c>
      <c r="F14" s="38">
        <f>F13-F10</f>
        <v>7.9814814814814818</v>
      </c>
      <c r="G14" s="51">
        <v>7.0000000000000007E-2</v>
      </c>
      <c r="H14" s="16">
        <f>F14*(1+G14)</f>
        <v>8.5401851851851855</v>
      </c>
      <c r="I14" s="17" t="s">
        <v>17</v>
      </c>
      <c r="J14" s="66">
        <v>0</v>
      </c>
      <c r="K14" s="66">
        <v>0</v>
      </c>
      <c r="L14" s="86">
        <f>J14+K14</f>
        <v>0</v>
      </c>
      <c r="M14" s="39">
        <f>L14*H14</f>
        <v>0</v>
      </c>
      <c r="N14" s="29"/>
    </row>
    <row r="15" spans="1:16" s="8" customFormat="1" ht="16.5" thickBot="1" x14ac:dyDescent="0.25">
      <c r="A15" s="28" t="str">
        <f>IF(F15&lt;&gt;"",1+MAX($A$6:A14),"")</f>
        <v/>
      </c>
      <c r="B15" s="35"/>
      <c r="C15" s="36"/>
      <c r="D15" s="6"/>
      <c r="E15" s="37"/>
      <c r="F15" s="38"/>
      <c r="G15" s="51"/>
      <c r="H15" s="16"/>
      <c r="I15" s="17"/>
      <c r="J15" s="224"/>
      <c r="K15" s="224"/>
      <c r="L15" s="86"/>
      <c r="M15" s="39"/>
      <c r="N15" s="29"/>
    </row>
    <row r="16" spans="1:16" s="8" customFormat="1" ht="79.5" thickBot="1" x14ac:dyDescent="0.25">
      <c r="A16" s="28" t="str">
        <f>IF(F16&lt;&gt;"",1+MAX($A$6:A15),"")</f>
        <v/>
      </c>
      <c r="B16" s="35"/>
      <c r="C16" s="36"/>
      <c r="D16" s="36"/>
      <c r="E16" s="44" t="s">
        <v>106</v>
      </c>
      <c r="F16" s="140"/>
      <c r="G16" s="45"/>
      <c r="H16" s="16"/>
      <c r="I16" s="17"/>
      <c r="J16" s="46"/>
      <c r="K16" s="46"/>
      <c r="L16" s="83"/>
      <c r="M16" s="47"/>
      <c r="N16" s="29"/>
    </row>
    <row r="17" spans="1:16" s="8" customFormat="1" x14ac:dyDescent="0.2">
      <c r="A17" s="28">
        <f>IF(F17&lt;&gt;"",1+MAX($A$6:A16),"")</f>
        <v>6</v>
      </c>
      <c r="B17" s="35" t="s">
        <v>56</v>
      </c>
      <c r="C17" s="36" t="s">
        <v>57</v>
      </c>
      <c r="D17" s="6"/>
      <c r="E17" s="48" t="s">
        <v>113</v>
      </c>
      <c r="F17" s="38">
        <f>6*6*2*3/27</f>
        <v>8</v>
      </c>
      <c r="G17" s="49">
        <v>7.0000000000000007E-2</v>
      </c>
      <c r="H17" s="16">
        <f>F17*(1+G17)</f>
        <v>8.56</v>
      </c>
      <c r="I17" s="17" t="s">
        <v>17</v>
      </c>
      <c r="J17" s="224">
        <f>J$10</f>
        <v>0</v>
      </c>
      <c r="K17" s="224">
        <f>K$10</f>
        <v>0</v>
      </c>
      <c r="L17" s="86">
        <f>J17+K17</f>
        <v>0</v>
      </c>
      <c r="M17" s="39">
        <f>L17*H17</f>
        <v>0</v>
      </c>
      <c r="N17" s="29"/>
      <c r="O17" s="81"/>
      <c r="P17" s="81"/>
    </row>
    <row r="18" spans="1:16" s="8" customFormat="1" x14ac:dyDescent="0.2">
      <c r="A18" s="28">
        <f>IF(F18&lt;&gt;"",1+MAX($A$6:A17),"")</f>
        <v>7</v>
      </c>
      <c r="B18" s="35" t="s">
        <v>56</v>
      </c>
      <c r="C18" s="36" t="s">
        <v>57</v>
      </c>
      <c r="D18" s="6"/>
      <c r="E18" s="37" t="s">
        <v>74</v>
      </c>
      <c r="F18" s="38">
        <f>6*6*2.044*1.2*2*2*3</f>
        <v>1059.6096</v>
      </c>
      <c r="G18" s="49">
        <v>7.0000000000000007E-2</v>
      </c>
      <c r="H18" s="16">
        <f>F18*(1+G18)</f>
        <v>1133.7822720000001</v>
      </c>
      <c r="I18" s="17" t="s">
        <v>18</v>
      </c>
      <c r="J18" s="224">
        <f>J$11</f>
        <v>0</v>
      </c>
      <c r="K18" s="224">
        <f>K$11</f>
        <v>0</v>
      </c>
      <c r="L18" s="86">
        <f>J18+K18</f>
        <v>0</v>
      </c>
      <c r="M18" s="39">
        <f>L18*H18</f>
        <v>0</v>
      </c>
      <c r="N18" s="29"/>
      <c r="O18" s="72"/>
    </row>
    <row r="19" spans="1:16" s="8" customFormat="1" x14ac:dyDescent="0.2">
      <c r="A19" s="28">
        <f>IF(F19&lt;&gt;"",1+MAX($A$6:A18),"")</f>
        <v>8</v>
      </c>
      <c r="B19" s="35" t="s">
        <v>56</v>
      </c>
      <c r="C19" s="36" t="s">
        <v>57</v>
      </c>
      <c r="D19" s="6"/>
      <c r="E19" s="37" t="s">
        <v>119</v>
      </c>
      <c r="F19" s="38">
        <f>4*6*2*3</f>
        <v>144</v>
      </c>
      <c r="G19" s="51">
        <v>7.0000000000000007E-2</v>
      </c>
      <c r="H19" s="16">
        <f>F19*(1+G19)</f>
        <v>154.08000000000001</v>
      </c>
      <c r="I19" s="17" t="s">
        <v>19</v>
      </c>
      <c r="J19" s="224">
        <f>J$12</f>
        <v>0</v>
      </c>
      <c r="K19" s="224">
        <f>K$12</f>
        <v>0</v>
      </c>
      <c r="L19" s="86">
        <f>J19+K19</f>
        <v>0</v>
      </c>
      <c r="M19" s="39">
        <f>L19*H19</f>
        <v>0</v>
      </c>
      <c r="N19" s="29"/>
      <c r="O19" s="72"/>
    </row>
    <row r="20" spans="1:16" s="8" customFormat="1" x14ac:dyDescent="0.2">
      <c r="A20" s="28">
        <f>IF(F20&lt;&gt;"",1+MAX($A$6:A19),"")</f>
        <v>9</v>
      </c>
      <c r="B20" s="35" t="s">
        <v>56</v>
      </c>
      <c r="C20" s="36" t="s">
        <v>57</v>
      </c>
      <c r="D20" s="6"/>
      <c r="E20" s="37" t="s">
        <v>35</v>
      </c>
      <c r="F20" s="38">
        <f>7*7*4*3/27</f>
        <v>21.777777777777779</v>
      </c>
      <c r="G20" s="51">
        <v>7.0000000000000007E-2</v>
      </c>
      <c r="H20" s="16">
        <f>F20*(1+G20)</f>
        <v>23.302222222222223</v>
      </c>
      <c r="I20" s="17" t="s">
        <v>17</v>
      </c>
      <c r="J20" s="224">
        <f>J$13</f>
        <v>0</v>
      </c>
      <c r="K20" s="224">
        <f>K$13</f>
        <v>0</v>
      </c>
      <c r="L20" s="86">
        <f>J20+K20</f>
        <v>0</v>
      </c>
      <c r="M20" s="39">
        <f>L20*H20</f>
        <v>0</v>
      </c>
      <c r="N20" s="29"/>
      <c r="O20" s="72"/>
    </row>
    <row r="21" spans="1:16" s="8" customFormat="1" x14ac:dyDescent="0.2">
      <c r="A21" s="28">
        <f>IF(F21&lt;&gt;"",1+MAX($A$6:A20),"")</f>
        <v>10</v>
      </c>
      <c r="B21" s="35" t="s">
        <v>56</v>
      </c>
      <c r="C21" s="36" t="s">
        <v>57</v>
      </c>
      <c r="D21" s="6"/>
      <c r="E21" s="37" t="s">
        <v>20</v>
      </c>
      <c r="F21" s="38">
        <f>F19-F16</f>
        <v>144</v>
      </c>
      <c r="G21" s="51">
        <v>7.0000000000000007E-2</v>
      </c>
      <c r="H21" s="16">
        <f>F21*(1+G21)</f>
        <v>154.08000000000001</v>
      </c>
      <c r="I21" s="17" t="s">
        <v>17</v>
      </c>
      <c r="J21" s="224">
        <f>J$14</f>
        <v>0</v>
      </c>
      <c r="K21" s="224">
        <f>K$14</f>
        <v>0</v>
      </c>
      <c r="L21" s="86">
        <f>J21+K21</f>
        <v>0</v>
      </c>
      <c r="M21" s="39">
        <f>L21*H21</f>
        <v>0</v>
      </c>
      <c r="N21" s="29"/>
    </row>
    <row r="22" spans="1:16" s="8" customFormat="1" ht="16.5" thickBot="1" x14ac:dyDescent="0.25">
      <c r="A22" s="28" t="str">
        <f>IF(F22&lt;&gt;"",1+MAX($A$6:A21),"")</f>
        <v/>
      </c>
      <c r="B22" s="35"/>
      <c r="C22" s="36"/>
      <c r="D22" s="6"/>
      <c r="E22" s="37"/>
      <c r="F22" s="38"/>
      <c r="G22" s="51"/>
      <c r="H22" s="16"/>
      <c r="I22" s="17"/>
      <c r="J22" s="224"/>
      <c r="K22" s="224"/>
      <c r="L22" s="86"/>
      <c r="M22" s="39"/>
      <c r="N22" s="29"/>
    </row>
    <row r="23" spans="1:16" s="8" customFormat="1" ht="79.5" thickBot="1" x14ac:dyDescent="0.25">
      <c r="A23" s="28" t="str">
        <f>IF(F23&lt;&gt;"",1+MAX($A$6:A22),"")</f>
        <v/>
      </c>
      <c r="B23" s="35"/>
      <c r="C23" s="36"/>
      <c r="D23" s="36"/>
      <c r="E23" s="44" t="s">
        <v>107</v>
      </c>
      <c r="F23" s="140"/>
      <c r="G23" s="45"/>
      <c r="H23" s="16"/>
      <c r="I23" s="17"/>
      <c r="J23" s="46"/>
      <c r="K23" s="46"/>
      <c r="L23" s="83"/>
      <c r="M23" s="47"/>
      <c r="N23" s="29"/>
    </row>
    <row r="24" spans="1:16" s="8" customFormat="1" x14ac:dyDescent="0.2">
      <c r="A24" s="28">
        <f>IF(F24&lt;&gt;"",1+MAX($A$6:A23),"")</f>
        <v>11</v>
      </c>
      <c r="B24" s="35" t="s">
        <v>56</v>
      </c>
      <c r="C24" s="36" t="s">
        <v>57</v>
      </c>
      <c r="D24" s="6"/>
      <c r="E24" s="48" t="s">
        <v>113</v>
      </c>
      <c r="F24" s="38">
        <f>24*6*2.5*3/27</f>
        <v>40</v>
      </c>
      <c r="G24" s="49">
        <v>7.0000000000000007E-2</v>
      </c>
      <c r="H24" s="16">
        <f>F24*(1+G24)</f>
        <v>42.800000000000004</v>
      </c>
      <c r="I24" s="17" t="s">
        <v>17</v>
      </c>
      <c r="J24" s="224">
        <f>J$10</f>
        <v>0</v>
      </c>
      <c r="K24" s="224">
        <f>K$10</f>
        <v>0</v>
      </c>
      <c r="L24" s="86">
        <f>J24+K24</f>
        <v>0</v>
      </c>
      <c r="M24" s="39">
        <f>L24*H24</f>
        <v>0</v>
      </c>
      <c r="N24" s="29"/>
      <c r="O24" s="81"/>
      <c r="P24" s="81"/>
    </row>
    <row r="25" spans="1:16" s="8" customFormat="1" x14ac:dyDescent="0.2">
      <c r="A25" s="28">
        <f>IF(F25&lt;&gt;"",1+MAX($A$6:A24),"")</f>
        <v>12</v>
      </c>
      <c r="B25" s="35" t="s">
        <v>56</v>
      </c>
      <c r="C25" s="36" t="s">
        <v>57</v>
      </c>
      <c r="D25" s="6"/>
      <c r="E25" s="37" t="s">
        <v>114</v>
      </c>
      <c r="F25" s="38">
        <f>2.044*1.2*2*2*24*6*1.13/0.83</f>
        <v>1923.4680289156624</v>
      </c>
      <c r="G25" s="49">
        <v>7.0000000000000007E-2</v>
      </c>
      <c r="H25" s="16">
        <f>F25*(1+G25)</f>
        <v>2058.1107909397588</v>
      </c>
      <c r="I25" s="17" t="s">
        <v>18</v>
      </c>
      <c r="J25" s="224">
        <f>J$11</f>
        <v>0</v>
      </c>
      <c r="K25" s="224">
        <f>K$11</f>
        <v>0</v>
      </c>
      <c r="L25" s="86">
        <f>J25+K25</f>
        <v>0</v>
      </c>
      <c r="M25" s="39">
        <f>L25*H25</f>
        <v>0</v>
      </c>
      <c r="N25" s="29"/>
      <c r="O25" s="72"/>
    </row>
    <row r="26" spans="1:16" s="8" customFormat="1" x14ac:dyDescent="0.2">
      <c r="A26" s="28">
        <f>IF(F26&lt;&gt;"",1+MAX($A$6:A25),"")</f>
        <v>13</v>
      </c>
      <c r="B26" s="35" t="s">
        <v>56</v>
      </c>
      <c r="C26" s="36" t="s">
        <v>57</v>
      </c>
      <c r="D26" s="6"/>
      <c r="E26" s="37" t="s">
        <v>119</v>
      </c>
      <c r="F26" s="38">
        <f>2*30*2.5*3</f>
        <v>450</v>
      </c>
      <c r="G26" s="51">
        <v>7.0000000000000007E-2</v>
      </c>
      <c r="H26" s="16">
        <f>F26*(1+G26)</f>
        <v>481.5</v>
      </c>
      <c r="I26" s="17" t="s">
        <v>19</v>
      </c>
      <c r="J26" s="224">
        <f>J$12</f>
        <v>0</v>
      </c>
      <c r="K26" s="224">
        <f>K$12</f>
        <v>0</v>
      </c>
      <c r="L26" s="86">
        <f>J26+K26</f>
        <v>0</v>
      </c>
      <c r="M26" s="39">
        <f>L26*H26</f>
        <v>0</v>
      </c>
      <c r="N26" s="29"/>
      <c r="O26" s="72"/>
    </row>
    <row r="27" spans="1:16" s="8" customFormat="1" x14ac:dyDescent="0.2">
      <c r="A27" s="28">
        <f>IF(F27&lt;&gt;"",1+MAX($A$6:A26),"")</f>
        <v>14</v>
      </c>
      <c r="B27" s="35" t="s">
        <v>56</v>
      </c>
      <c r="C27" s="36" t="s">
        <v>57</v>
      </c>
      <c r="D27" s="6"/>
      <c r="E27" s="37" t="s">
        <v>35</v>
      </c>
      <c r="F27" s="38">
        <f>25*7*5*3/27</f>
        <v>97.222222222222229</v>
      </c>
      <c r="G27" s="51">
        <v>7.0000000000000007E-2</v>
      </c>
      <c r="H27" s="16">
        <f>F27*(1+G27)</f>
        <v>104.02777777777779</v>
      </c>
      <c r="I27" s="17" t="s">
        <v>17</v>
      </c>
      <c r="J27" s="224">
        <f>J$13</f>
        <v>0</v>
      </c>
      <c r="K27" s="224">
        <f>K$13</f>
        <v>0</v>
      </c>
      <c r="L27" s="86">
        <f>J27+K27</f>
        <v>0</v>
      </c>
      <c r="M27" s="39">
        <f>L27*H27</f>
        <v>0</v>
      </c>
      <c r="N27" s="29"/>
      <c r="O27" s="72"/>
    </row>
    <row r="28" spans="1:16" s="8" customFormat="1" x14ac:dyDescent="0.2">
      <c r="A28" s="28">
        <f>IF(F28&lt;&gt;"",1+MAX($A$6:A27),"")</f>
        <v>15</v>
      </c>
      <c r="B28" s="35" t="s">
        <v>56</v>
      </c>
      <c r="C28" s="36" t="s">
        <v>57</v>
      </c>
      <c r="D28" s="6"/>
      <c r="E28" s="37" t="s">
        <v>20</v>
      </c>
      <c r="F28" s="38">
        <f>F27-F24</f>
        <v>57.222222222222229</v>
      </c>
      <c r="G28" s="51">
        <v>7.0000000000000007E-2</v>
      </c>
      <c r="H28" s="16">
        <f>F28*(1+G28)</f>
        <v>61.227777777777789</v>
      </c>
      <c r="I28" s="17" t="s">
        <v>17</v>
      </c>
      <c r="J28" s="224">
        <f>J$14</f>
        <v>0</v>
      </c>
      <c r="K28" s="224">
        <f>K$14</f>
        <v>0</v>
      </c>
      <c r="L28" s="86">
        <f>J28+K28</f>
        <v>0</v>
      </c>
      <c r="M28" s="39">
        <f>L28*H28</f>
        <v>0</v>
      </c>
      <c r="N28" s="29"/>
    </row>
    <row r="29" spans="1:16" s="8" customFormat="1" ht="16.5" thickBot="1" x14ac:dyDescent="0.25">
      <c r="A29" s="28" t="str">
        <f>IF(F29&lt;&gt;"",1+MAX($A$6:A28),"")</f>
        <v/>
      </c>
      <c r="B29" s="35"/>
      <c r="C29" s="36"/>
      <c r="D29" s="6"/>
      <c r="E29" s="37"/>
      <c r="F29" s="38"/>
      <c r="G29" s="51"/>
      <c r="H29" s="16"/>
      <c r="I29" s="17"/>
      <c r="J29" s="224"/>
      <c r="K29" s="224"/>
      <c r="L29" s="86"/>
      <c r="M29" s="39"/>
      <c r="N29" s="29"/>
    </row>
    <row r="30" spans="1:16" s="8" customFormat="1" ht="79.5" thickBot="1" x14ac:dyDescent="0.25">
      <c r="A30" s="28" t="str">
        <f>IF(F30&lt;&gt;"",1+MAX($A$6:A29),"")</f>
        <v/>
      </c>
      <c r="B30" s="35"/>
      <c r="C30" s="36"/>
      <c r="D30" s="36"/>
      <c r="E30" s="44" t="s">
        <v>108</v>
      </c>
      <c r="F30" s="140"/>
      <c r="G30" s="45"/>
      <c r="H30" s="16"/>
      <c r="I30" s="17"/>
      <c r="J30" s="46"/>
      <c r="K30" s="46"/>
      <c r="L30" s="83"/>
      <c r="M30" s="47"/>
      <c r="N30" s="29"/>
    </row>
    <row r="31" spans="1:16" s="8" customFormat="1" x14ac:dyDescent="0.2">
      <c r="A31" s="28">
        <f>IF(F31&lt;&gt;"",1+MAX($A$6:A30),"")</f>
        <v>16</v>
      </c>
      <c r="B31" s="35" t="s">
        <v>56</v>
      </c>
      <c r="C31" s="36" t="s">
        <v>57</v>
      </c>
      <c r="D31" s="6"/>
      <c r="E31" s="48" t="s">
        <v>113</v>
      </c>
      <c r="F31" s="38">
        <f>21*6*2.5/27</f>
        <v>11.666666666666666</v>
      </c>
      <c r="G31" s="49">
        <v>7.0000000000000007E-2</v>
      </c>
      <c r="H31" s="16">
        <f>F31*(1+G31)</f>
        <v>12.483333333333334</v>
      </c>
      <c r="I31" s="17" t="s">
        <v>17</v>
      </c>
      <c r="J31" s="224">
        <f>J$10</f>
        <v>0</v>
      </c>
      <c r="K31" s="224">
        <f>K$10</f>
        <v>0</v>
      </c>
      <c r="L31" s="86">
        <f>J31+K31</f>
        <v>0</v>
      </c>
      <c r="M31" s="39">
        <f>L31*H31</f>
        <v>0</v>
      </c>
      <c r="N31" s="29"/>
      <c r="O31" s="81"/>
      <c r="P31" s="81"/>
    </row>
    <row r="32" spans="1:16" s="8" customFormat="1" x14ac:dyDescent="0.2">
      <c r="A32" s="28">
        <f>IF(F32&lt;&gt;"",1+MAX($A$6:A31),"")</f>
        <v>17</v>
      </c>
      <c r="B32" s="35" t="s">
        <v>56</v>
      </c>
      <c r="C32" s="36" t="s">
        <v>57</v>
      </c>
      <c r="D32" s="6"/>
      <c r="E32" s="37" t="s">
        <v>114</v>
      </c>
      <c r="F32" s="38">
        <f>2.044*1.2*2*2*21*6*1.13/0.83</f>
        <v>1683.0345253012044</v>
      </c>
      <c r="G32" s="49">
        <v>7.0000000000000007E-2</v>
      </c>
      <c r="H32" s="16">
        <f>F32*(1+G32)</f>
        <v>1800.8469420722888</v>
      </c>
      <c r="I32" s="17" t="s">
        <v>18</v>
      </c>
      <c r="J32" s="224">
        <f>J$11</f>
        <v>0</v>
      </c>
      <c r="K32" s="224">
        <f>K$11</f>
        <v>0</v>
      </c>
      <c r="L32" s="86">
        <f>J32+K32</f>
        <v>0</v>
      </c>
      <c r="M32" s="39">
        <f>L32*H32</f>
        <v>0</v>
      </c>
      <c r="N32" s="29"/>
      <c r="O32" s="72"/>
    </row>
    <row r="33" spans="1:16" s="8" customFormat="1" x14ac:dyDescent="0.2">
      <c r="A33" s="28">
        <f>IF(F33&lt;&gt;"",1+MAX($A$6:A32),"")</f>
        <v>18</v>
      </c>
      <c r="B33" s="35" t="s">
        <v>56</v>
      </c>
      <c r="C33" s="36" t="s">
        <v>57</v>
      </c>
      <c r="D33" s="6"/>
      <c r="E33" s="37" t="s">
        <v>119</v>
      </c>
      <c r="F33" s="38">
        <f>2*27*2.5</f>
        <v>135</v>
      </c>
      <c r="G33" s="51">
        <v>7.0000000000000007E-2</v>
      </c>
      <c r="H33" s="16">
        <f>F33*(1+G33)</f>
        <v>144.45000000000002</v>
      </c>
      <c r="I33" s="17" t="s">
        <v>19</v>
      </c>
      <c r="J33" s="224">
        <f>J$12</f>
        <v>0</v>
      </c>
      <c r="K33" s="224">
        <f>K$12</f>
        <v>0</v>
      </c>
      <c r="L33" s="86">
        <f>J33+K33</f>
        <v>0</v>
      </c>
      <c r="M33" s="39">
        <f>L33*H33</f>
        <v>0</v>
      </c>
      <c r="N33" s="29"/>
      <c r="O33" s="72"/>
    </row>
    <row r="34" spans="1:16" s="8" customFormat="1" x14ac:dyDescent="0.2">
      <c r="A34" s="28">
        <f>IF(F34&lt;&gt;"",1+MAX($A$6:A33),"")</f>
        <v>19</v>
      </c>
      <c r="B34" s="35" t="s">
        <v>56</v>
      </c>
      <c r="C34" s="36" t="s">
        <v>57</v>
      </c>
      <c r="D34" s="6"/>
      <c r="E34" s="37" t="s">
        <v>35</v>
      </c>
      <c r="F34" s="38">
        <f>22*7*5/27</f>
        <v>28.518518518518519</v>
      </c>
      <c r="G34" s="51">
        <v>7.0000000000000007E-2</v>
      </c>
      <c r="H34" s="16">
        <f>F34*(1+G34)</f>
        <v>30.514814814814816</v>
      </c>
      <c r="I34" s="17" t="s">
        <v>17</v>
      </c>
      <c r="J34" s="224">
        <f>J$13</f>
        <v>0</v>
      </c>
      <c r="K34" s="224">
        <f>K$13</f>
        <v>0</v>
      </c>
      <c r="L34" s="86">
        <f>J34+K34</f>
        <v>0</v>
      </c>
      <c r="M34" s="39">
        <f>L34*H34</f>
        <v>0</v>
      </c>
      <c r="N34" s="29"/>
      <c r="O34" s="72"/>
    </row>
    <row r="35" spans="1:16" s="8" customFormat="1" x14ac:dyDescent="0.2">
      <c r="A35" s="28">
        <f>IF(F35&lt;&gt;"",1+MAX($A$6:A34),"")</f>
        <v>20</v>
      </c>
      <c r="B35" s="35" t="s">
        <v>56</v>
      </c>
      <c r="C35" s="36" t="s">
        <v>57</v>
      </c>
      <c r="D35" s="6"/>
      <c r="E35" s="37" t="s">
        <v>20</v>
      </c>
      <c r="F35" s="38">
        <f>F34-F31</f>
        <v>16.851851851851855</v>
      </c>
      <c r="G35" s="51">
        <v>7.0000000000000007E-2</v>
      </c>
      <c r="H35" s="16">
        <f>F35*(1+G35)</f>
        <v>18.031481481481485</v>
      </c>
      <c r="I35" s="17" t="s">
        <v>17</v>
      </c>
      <c r="J35" s="224">
        <f>J$14</f>
        <v>0</v>
      </c>
      <c r="K35" s="224">
        <f>K$14</f>
        <v>0</v>
      </c>
      <c r="L35" s="86">
        <f>J35+K35</f>
        <v>0</v>
      </c>
      <c r="M35" s="39">
        <f>L35*H35</f>
        <v>0</v>
      </c>
      <c r="N35" s="29"/>
    </row>
    <row r="36" spans="1:16" s="8" customFormat="1" ht="16.5" thickBot="1" x14ac:dyDescent="0.25">
      <c r="A36" s="28" t="str">
        <f>IF(F36&lt;&gt;"",1+MAX($A$6:A35),"")</f>
        <v/>
      </c>
      <c r="B36" s="35"/>
      <c r="C36" s="36"/>
      <c r="D36" s="6"/>
      <c r="E36" s="37"/>
      <c r="F36" s="38"/>
      <c r="G36" s="51"/>
      <c r="H36" s="16"/>
      <c r="I36" s="17"/>
      <c r="J36" s="224"/>
      <c r="K36" s="224"/>
      <c r="L36" s="86"/>
      <c r="M36" s="39"/>
      <c r="N36" s="29"/>
    </row>
    <row r="37" spans="1:16" s="8" customFormat="1" ht="79.5" thickBot="1" x14ac:dyDescent="0.25">
      <c r="A37" s="28" t="str">
        <f>IF(F37&lt;&gt;"",1+MAX($A$6:A36),"")</f>
        <v/>
      </c>
      <c r="B37" s="35"/>
      <c r="C37" s="36"/>
      <c r="D37" s="36"/>
      <c r="E37" s="44" t="s">
        <v>109</v>
      </c>
      <c r="F37" s="140"/>
      <c r="G37" s="45"/>
      <c r="H37" s="16"/>
      <c r="I37" s="17"/>
      <c r="J37" s="46"/>
      <c r="K37" s="46"/>
      <c r="L37" s="83"/>
      <c r="M37" s="47"/>
      <c r="N37" s="29"/>
    </row>
    <row r="38" spans="1:16" s="8" customFormat="1" x14ac:dyDescent="0.2">
      <c r="A38" s="28">
        <f>IF(F38&lt;&gt;"",1+MAX($A$6:A37),"")</f>
        <v>21</v>
      </c>
      <c r="B38" s="35" t="s">
        <v>56</v>
      </c>
      <c r="C38" s="36" t="s">
        <v>57</v>
      </c>
      <c r="D38" s="6"/>
      <c r="E38" s="48" t="s">
        <v>113</v>
      </c>
      <c r="F38" s="38">
        <f>7*7*2*2/27</f>
        <v>7.2592592592592595</v>
      </c>
      <c r="G38" s="49">
        <v>7.0000000000000007E-2</v>
      </c>
      <c r="H38" s="16">
        <f>F38*(1+G38)</f>
        <v>7.7674074074074078</v>
      </c>
      <c r="I38" s="17" t="s">
        <v>17</v>
      </c>
      <c r="J38" s="224">
        <f>J$10</f>
        <v>0</v>
      </c>
      <c r="K38" s="224">
        <f>K$10</f>
        <v>0</v>
      </c>
      <c r="L38" s="86">
        <f>J38+K38</f>
        <v>0</v>
      </c>
      <c r="M38" s="39">
        <f>L38*H38</f>
        <v>0</v>
      </c>
      <c r="N38" s="29"/>
      <c r="O38" s="81"/>
      <c r="P38" s="81"/>
    </row>
    <row r="39" spans="1:16" s="8" customFormat="1" x14ac:dyDescent="0.2">
      <c r="A39" s="28">
        <f>IF(F39&lt;&gt;"",1+MAX($A$6:A38),"")</f>
        <v>22</v>
      </c>
      <c r="B39" s="35" t="s">
        <v>56</v>
      </c>
      <c r="C39" s="36" t="s">
        <v>57</v>
      </c>
      <c r="D39" s="6"/>
      <c r="E39" s="37" t="s">
        <v>58</v>
      </c>
      <c r="F39" s="38">
        <f>7*7*2.044*1.2*2*2*2</f>
        <v>961.49760000000003</v>
      </c>
      <c r="G39" s="49">
        <v>7.0000000000000007E-2</v>
      </c>
      <c r="H39" s="16">
        <f>F39*(1+G39)</f>
        <v>1028.8024320000002</v>
      </c>
      <c r="I39" s="17" t="s">
        <v>18</v>
      </c>
      <c r="J39" s="224">
        <f>J$11</f>
        <v>0</v>
      </c>
      <c r="K39" s="224">
        <f>K$11</f>
        <v>0</v>
      </c>
      <c r="L39" s="86">
        <f>J39+K39</f>
        <v>0</v>
      </c>
      <c r="M39" s="39">
        <f>L39*H39</f>
        <v>0</v>
      </c>
      <c r="N39" s="29"/>
      <c r="O39" s="72"/>
    </row>
    <row r="40" spans="1:16" s="8" customFormat="1" x14ac:dyDescent="0.2">
      <c r="A40" s="28">
        <f>IF(F40&lt;&gt;"",1+MAX($A$6:A39),"")</f>
        <v>23</v>
      </c>
      <c r="B40" s="35" t="s">
        <v>56</v>
      </c>
      <c r="C40" s="36" t="s">
        <v>57</v>
      </c>
      <c r="D40" s="6"/>
      <c r="E40" s="37" t="s">
        <v>119</v>
      </c>
      <c r="F40" s="38">
        <f>4*7*2*2</f>
        <v>112</v>
      </c>
      <c r="G40" s="51">
        <v>7.0000000000000007E-2</v>
      </c>
      <c r="H40" s="16">
        <f>F40*(1+G40)</f>
        <v>119.84</v>
      </c>
      <c r="I40" s="17" t="s">
        <v>19</v>
      </c>
      <c r="J40" s="224">
        <f>J$12</f>
        <v>0</v>
      </c>
      <c r="K40" s="224">
        <f>K$12</f>
        <v>0</v>
      </c>
      <c r="L40" s="86">
        <f>J40+K40</f>
        <v>0</v>
      </c>
      <c r="M40" s="39">
        <f>L40*H40</f>
        <v>0</v>
      </c>
      <c r="N40" s="29"/>
      <c r="O40" s="72"/>
    </row>
    <row r="41" spans="1:16" s="8" customFormat="1" x14ac:dyDescent="0.2">
      <c r="A41" s="28">
        <f>IF(F41&lt;&gt;"",1+MAX($A$6:A40),"")</f>
        <v>24</v>
      </c>
      <c r="B41" s="35" t="s">
        <v>56</v>
      </c>
      <c r="C41" s="36" t="s">
        <v>57</v>
      </c>
      <c r="D41" s="6"/>
      <c r="E41" s="37" t="s">
        <v>35</v>
      </c>
      <c r="F41" s="38">
        <f>8*8*4*2/27</f>
        <v>18.962962962962962</v>
      </c>
      <c r="G41" s="51">
        <v>7.0000000000000007E-2</v>
      </c>
      <c r="H41" s="16">
        <f>F41*(1+G41)</f>
        <v>20.290370370370372</v>
      </c>
      <c r="I41" s="17" t="s">
        <v>17</v>
      </c>
      <c r="J41" s="224">
        <f>J$13</f>
        <v>0</v>
      </c>
      <c r="K41" s="224">
        <f>K$13</f>
        <v>0</v>
      </c>
      <c r="L41" s="86">
        <f>J41+K41</f>
        <v>0</v>
      </c>
      <c r="M41" s="39">
        <f>L41*H41</f>
        <v>0</v>
      </c>
      <c r="N41" s="29"/>
      <c r="O41" s="72"/>
    </row>
    <row r="42" spans="1:16" s="8" customFormat="1" x14ac:dyDescent="0.2">
      <c r="A42" s="28">
        <f>IF(F42&lt;&gt;"",1+MAX($A$6:A41),"")</f>
        <v>25</v>
      </c>
      <c r="B42" s="35" t="s">
        <v>56</v>
      </c>
      <c r="C42" s="36" t="s">
        <v>57</v>
      </c>
      <c r="D42" s="6"/>
      <c r="E42" s="37" t="s">
        <v>20</v>
      </c>
      <c r="F42" s="38">
        <f>F41-F38</f>
        <v>11.703703703703702</v>
      </c>
      <c r="G42" s="51">
        <v>7.0000000000000007E-2</v>
      </c>
      <c r="H42" s="16">
        <f>F42*(1+G42)</f>
        <v>12.522962962962962</v>
      </c>
      <c r="I42" s="17" t="s">
        <v>17</v>
      </c>
      <c r="J42" s="224">
        <f>J$14</f>
        <v>0</v>
      </c>
      <c r="K42" s="224">
        <f>K$14</f>
        <v>0</v>
      </c>
      <c r="L42" s="86">
        <f>J42+K42</f>
        <v>0</v>
      </c>
      <c r="M42" s="39">
        <f>L42*H42</f>
        <v>0</v>
      </c>
      <c r="N42" s="29"/>
    </row>
    <row r="43" spans="1:16" s="8" customFormat="1" ht="16.5" thickBot="1" x14ac:dyDescent="0.25">
      <c r="A43" s="28" t="str">
        <f>IF(F43&lt;&gt;"",1+MAX($A$6:A42),"")</f>
        <v/>
      </c>
      <c r="B43" s="35"/>
      <c r="C43" s="36"/>
      <c r="D43" s="6"/>
      <c r="E43" s="37"/>
      <c r="F43" s="38"/>
      <c r="G43" s="51"/>
      <c r="H43" s="16"/>
      <c r="I43" s="17"/>
      <c r="J43" s="224"/>
      <c r="K43" s="224"/>
      <c r="L43" s="86"/>
      <c r="M43" s="39"/>
      <c r="N43" s="29"/>
    </row>
    <row r="44" spans="1:16" s="8" customFormat="1" ht="79.5" thickBot="1" x14ac:dyDescent="0.25">
      <c r="A44" s="28" t="str">
        <f>IF(F44&lt;&gt;"",1+MAX($A$6:A43),"")</f>
        <v/>
      </c>
      <c r="B44" s="35"/>
      <c r="C44" s="36"/>
      <c r="D44" s="36"/>
      <c r="E44" s="44" t="s">
        <v>110</v>
      </c>
      <c r="F44" s="140"/>
      <c r="G44" s="45"/>
      <c r="H44" s="16"/>
      <c r="I44" s="17"/>
      <c r="J44" s="46"/>
      <c r="K44" s="46"/>
      <c r="L44" s="83"/>
      <c r="M44" s="47"/>
      <c r="N44" s="29"/>
    </row>
    <row r="45" spans="1:16" s="8" customFormat="1" x14ac:dyDescent="0.2">
      <c r="A45" s="28">
        <f>IF(F45&lt;&gt;"",1+MAX($A$6:A44),"")</f>
        <v>26</v>
      </c>
      <c r="B45" s="35" t="s">
        <v>56</v>
      </c>
      <c r="C45" s="36" t="s">
        <v>57</v>
      </c>
      <c r="D45" s="6"/>
      <c r="E45" s="48" t="s">
        <v>113</v>
      </c>
      <c r="F45" s="38">
        <f>8*8*2/27</f>
        <v>4.7407407407407405</v>
      </c>
      <c r="G45" s="49">
        <v>7.0000000000000007E-2</v>
      </c>
      <c r="H45" s="16">
        <f>F45*(1+G45)</f>
        <v>5.072592592592593</v>
      </c>
      <c r="I45" s="17" t="s">
        <v>17</v>
      </c>
      <c r="J45" s="224">
        <f>J$10</f>
        <v>0</v>
      </c>
      <c r="K45" s="224">
        <f>K$10</f>
        <v>0</v>
      </c>
      <c r="L45" s="86">
        <f>J45+K45</f>
        <v>0</v>
      </c>
      <c r="M45" s="39">
        <f>L45*H45</f>
        <v>0</v>
      </c>
      <c r="N45" s="29"/>
      <c r="O45" s="81"/>
      <c r="P45" s="81"/>
    </row>
    <row r="46" spans="1:16" s="8" customFormat="1" x14ac:dyDescent="0.2">
      <c r="A46" s="28">
        <f>IF(F46&lt;&gt;"",1+MAX($A$6:A45),"")</f>
        <v>27</v>
      </c>
      <c r="B46" s="35" t="s">
        <v>56</v>
      </c>
      <c r="C46" s="36" t="s">
        <v>57</v>
      </c>
      <c r="D46" s="6"/>
      <c r="E46" s="37" t="s">
        <v>58</v>
      </c>
      <c r="F46" s="38">
        <f>7*8*2.044*1.2*2*2</f>
        <v>549.42719999999997</v>
      </c>
      <c r="G46" s="49">
        <v>7.0000000000000007E-2</v>
      </c>
      <c r="H46" s="16">
        <f>F46*(1+G46)</f>
        <v>587.88710400000002</v>
      </c>
      <c r="I46" s="17" t="s">
        <v>18</v>
      </c>
      <c r="J46" s="224">
        <f>J$11</f>
        <v>0</v>
      </c>
      <c r="K46" s="224">
        <f>K$11</f>
        <v>0</v>
      </c>
      <c r="L46" s="86">
        <f>J46+K46</f>
        <v>0</v>
      </c>
      <c r="M46" s="39">
        <f>L46*H46</f>
        <v>0</v>
      </c>
      <c r="N46" s="29"/>
      <c r="O46" s="72"/>
    </row>
    <row r="47" spans="1:16" s="8" customFormat="1" x14ac:dyDescent="0.2">
      <c r="A47" s="28">
        <f>IF(F47&lt;&gt;"",1+MAX($A$6:A46),"")</f>
        <v>28</v>
      </c>
      <c r="B47" s="35" t="s">
        <v>56</v>
      </c>
      <c r="C47" s="36" t="s">
        <v>57</v>
      </c>
      <c r="D47" s="6"/>
      <c r="E47" s="37" t="s">
        <v>119</v>
      </c>
      <c r="F47" s="38">
        <f>4*8*2</f>
        <v>64</v>
      </c>
      <c r="G47" s="51">
        <v>7.0000000000000007E-2</v>
      </c>
      <c r="H47" s="16">
        <f>F47*(1+G47)</f>
        <v>68.48</v>
      </c>
      <c r="I47" s="17" t="s">
        <v>19</v>
      </c>
      <c r="J47" s="224">
        <f>J$12</f>
        <v>0</v>
      </c>
      <c r="K47" s="224">
        <f>K$12</f>
        <v>0</v>
      </c>
      <c r="L47" s="86">
        <f>J47+K47</f>
        <v>0</v>
      </c>
      <c r="M47" s="39">
        <f>L47*H47</f>
        <v>0</v>
      </c>
      <c r="N47" s="29"/>
      <c r="O47" s="72"/>
    </row>
    <row r="48" spans="1:16" s="8" customFormat="1" x14ac:dyDescent="0.2">
      <c r="A48" s="28">
        <f>IF(F48&lt;&gt;"",1+MAX($A$6:A47),"")</f>
        <v>29</v>
      </c>
      <c r="B48" s="35" t="s">
        <v>56</v>
      </c>
      <c r="C48" s="36" t="s">
        <v>57</v>
      </c>
      <c r="D48" s="6"/>
      <c r="E48" s="37" t="s">
        <v>35</v>
      </c>
      <c r="F48" s="38">
        <f>9*9*4/27</f>
        <v>12</v>
      </c>
      <c r="G48" s="51">
        <v>7.0000000000000007E-2</v>
      </c>
      <c r="H48" s="16">
        <f>F48*(1+G48)</f>
        <v>12.84</v>
      </c>
      <c r="I48" s="17" t="s">
        <v>17</v>
      </c>
      <c r="J48" s="224">
        <f>J$13</f>
        <v>0</v>
      </c>
      <c r="K48" s="224">
        <f>K$13</f>
        <v>0</v>
      </c>
      <c r="L48" s="86">
        <f>J48+K48</f>
        <v>0</v>
      </c>
      <c r="M48" s="39">
        <f>L48*H48</f>
        <v>0</v>
      </c>
      <c r="N48" s="29"/>
      <c r="O48" s="72"/>
    </row>
    <row r="49" spans="1:15" s="8" customFormat="1" x14ac:dyDescent="0.2">
      <c r="A49" s="28">
        <f>IF(F49&lt;&gt;"",1+MAX($A$6:A48),"")</f>
        <v>30</v>
      </c>
      <c r="B49" s="35" t="s">
        <v>56</v>
      </c>
      <c r="C49" s="36" t="s">
        <v>57</v>
      </c>
      <c r="D49" s="6"/>
      <c r="E49" s="37" t="s">
        <v>20</v>
      </c>
      <c r="F49" s="38">
        <f>F48-F45</f>
        <v>7.2592592592592595</v>
      </c>
      <c r="G49" s="51">
        <v>7.0000000000000007E-2</v>
      </c>
      <c r="H49" s="16">
        <f>F49*(1+G49)</f>
        <v>7.7674074074074078</v>
      </c>
      <c r="I49" s="17" t="s">
        <v>17</v>
      </c>
      <c r="J49" s="224">
        <f>J$14</f>
        <v>0</v>
      </c>
      <c r="K49" s="224">
        <f>K$14</f>
        <v>0</v>
      </c>
      <c r="L49" s="86">
        <f>J49+K49</f>
        <v>0</v>
      </c>
      <c r="M49" s="39">
        <f>L49*H49</f>
        <v>0</v>
      </c>
      <c r="N49" s="29"/>
    </row>
    <row r="50" spans="1:15" s="8" customFormat="1" x14ac:dyDescent="0.2">
      <c r="A50" s="28" t="str">
        <f>IF(F50&lt;&gt;"",1+MAX($A$6:A49),"")</f>
        <v/>
      </c>
      <c r="B50" s="35"/>
      <c r="C50" s="36"/>
      <c r="D50" s="6"/>
      <c r="E50" s="37"/>
      <c r="F50" s="38"/>
      <c r="G50" s="51"/>
      <c r="H50" s="16"/>
      <c r="I50" s="16"/>
      <c r="J50" s="16"/>
      <c r="K50" s="16"/>
      <c r="L50" s="16"/>
      <c r="M50" s="16"/>
      <c r="N50" s="29"/>
    </row>
    <row r="51" spans="1:15" s="8" customFormat="1" x14ac:dyDescent="0.2">
      <c r="A51" s="28" t="str">
        <f>IF(F51&lt;&gt;"",1+MAX($A$6:A50),"")</f>
        <v/>
      </c>
      <c r="B51" s="35"/>
      <c r="C51" s="36"/>
      <c r="D51" s="6"/>
      <c r="E51" s="227" t="s">
        <v>164</v>
      </c>
      <c r="F51" s="38"/>
      <c r="G51" s="51"/>
      <c r="H51" s="16"/>
      <c r="I51" s="16"/>
      <c r="J51" s="16"/>
      <c r="K51" s="16"/>
      <c r="L51" s="16"/>
      <c r="M51" s="39"/>
      <c r="N51" s="29"/>
    </row>
    <row r="52" spans="1:15" s="8" customFormat="1" x14ac:dyDescent="0.2">
      <c r="A52" s="28">
        <f>IF(F52&lt;&gt;"",1+MAX($A$6:A51),"")</f>
        <v>31</v>
      </c>
      <c r="B52" s="35" t="s">
        <v>56</v>
      </c>
      <c r="C52" s="36" t="s">
        <v>57</v>
      </c>
      <c r="D52" s="6"/>
      <c r="E52" s="37" t="s">
        <v>164</v>
      </c>
      <c r="F52" s="38">
        <v>18</v>
      </c>
      <c r="G52" s="51">
        <v>0</v>
      </c>
      <c r="H52" s="16">
        <f>F52*(1+G52)</f>
        <v>18</v>
      </c>
      <c r="I52" s="17" t="s">
        <v>60</v>
      </c>
      <c r="J52" s="66">
        <v>0</v>
      </c>
      <c r="K52" s="66">
        <v>0</v>
      </c>
      <c r="L52" s="86">
        <f>J52+K52</f>
        <v>0</v>
      </c>
      <c r="M52" s="39">
        <f>L52*H52</f>
        <v>0</v>
      </c>
      <c r="N52" s="29"/>
    </row>
    <row r="53" spans="1:15" s="8" customFormat="1" ht="16.5" thickBot="1" x14ac:dyDescent="0.25">
      <c r="A53" s="28" t="str">
        <f>IF(F53&lt;&gt;"",1+MAX($A$6:A52),"")</f>
        <v/>
      </c>
      <c r="B53" s="35"/>
      <c r="C53" s="36"/>
      <c r="D53" s="6"/>
      <c r="E53" s="141"/>
      <c r="F53" s="14"/>
      <c r="G53" s="51"/>
      <c r="H53" s="52"/>
      <c r="I53" s="53"/>
      <c r="J53" s="50"/>
      <c r="K53" s="50"/>
      <c r="L53" s="85"/>
      <c r="M53" s="39"/>
      <c r="N53" s="29"/>
    </row>
    <row r="54" spans="1:15" s="8" customFormat="1" ht="16.5" thickBot="1" x14ac:dyDescent="0.25">
      <c r="A54" s="28" t="str">
        <f>IF(F54&lt;&gt;"",1+MAX($A$6:A53),"")</f>
        <v/>
      </c>
      <c r="B54" s="35"/>
      <c r="C54" s="54"/>
      <c r="D54" s="31"/>
      <c r="E54" s="225" t="s">
        <v>61</v>
      </c>
      <c r="F54" s="226"/>
      <c r="G54" s="32"/>
      <c r="H54" s="33"/>
      <c r="I54" s="34"/>
      <c r="J54" s="103"/>
      <c r="K54" s="103"/>
      <c r="L54" s="104"/>
      <c r="M54" s="105"/>
      <c r="N54" s="29"/>
    </row>
    <row r="55" spans="1:15" s="8" customFormat="1" ht="79.5" thickBot="1" x14ac:dyDescent="0.25">
      <c r="A55" s="28" t="str">
        <f>IF(F55&lt;&gt;"",1+MAX($A$6:A54),"")</f>
        <v/>
      </c>
      <c r="B55" s="35"/>
      <c r="C55" s="36"/>
      <c r="D55" s="36"/>
      <c r="E55" s="44" t="s">
        <v>121</v>
      </c>
      <c r="F55" s="140"/>
      <c r="G55" s="45"/>
      <c r="H55" s="16"/>
      <c r="I55" s="17"/>
      <c r="J55" s="46"/>
      <c r="K55" s="46"/>
      <c r="L55" s="83"/>
      <c r="M55" s="47"/>
      <c r="N55" s="29"/>
    </row>
    <row r="56" spans="1:15" s="8" customFormat="1" x14ac:dyDescent="0.2">
      <c r="A56" s="28">
        <f>IF(F56&lt;&gt;"",1+MAX($A$6:A55),"")</f>
        <v>32</v>
      </c>
      <c r="B56" s="35" t="s">
        <v>56</v>
      </c>
      <c r="C56" s="36" t="s">
        <v>57</v>
      </c>
      <c r="D56" s="6"/>
      <c r="E56" s="37" t="s">
        <v>113</v>
      </c>
      <c r="F56" s="38">
        <f>2*2*1.67*8/27</f>
        <v>1.9792592592592593</v>
      </c>
      <c r="G56" s="49">
        <v>7.0000000000000007E-2</v>
      </c>
      <c r="H56" s="16">
        <f>F56*(1+G56)</f>
        <v>2.1178074074074074</v>
      </c>
      <c r="I56" s="17" t="s">
        <v>17</v>
      </c>
      <c r="J56" s="224">
        <f>J$10</f>
        <v>0</v>
      </c>
      <c r="K56" s="224">
        <f>K$10</f>
        <v>0</v>
      </c>
      <c r="L56" s="86">
        <f>J56+K56</f>
        <v>0</v>
      </c>
      <c r="M56" s="39">
        <f>L56*H56</f>
        <v>0</v>
      </c>
      <c r="N56" s="29"/>
      <c r="O56" s="72"/>
    </row>
    <row r="57" spans="1:15" s="8" customFormat="1" x14ac:dyDescent="0.2">
      <c r="A57" s="28">
        <f>IF(F57&lt;&gt;"",1+MAX($A$6:A56),"")</f>
        <v>33</v>
      </c>
      <c r="B57" s="35" t="s">
        <v>56</v>
      </c>
      <c r="C57" s="36" t="s">
        <v>57</v>
      </c>
      <c r="D57" s="6"/>
      <c r="E57" s="37" t="s">
        <v>62</v>
      </c>
      <c r="F57" s="38">
        <f>4*4*1.5*1.2*8</f>
        <v>230.39999999999998</v>
      </c>
      <c r="G57" s="51">
        <v>7.0000000000000007E-2</v>
      </c>
      <c r="H57" s="16">
        <f>F57*(1+G57)</f>
        <v>246.52799999999999</v>
      </c>
      <c r="I57" s="17" t="s">
        <v>18</v>
      </c>
      <c r="J57" s="224">
        <f>J$11</f>
        <v>0</v>
      </c>
      <c r="K57" s="224">
        <f>K$11</f>
        <v>0</v>
      </c>
      <c r="L57" s="86">
        <f>J57+K57</f>
        <v>0</v>
      </c>
      <c r="M57" s="39">
        <f>L57*H57</f>
        <v>0</v>
      </c>
      <c r="N57" s="29"/>
      <c r="O57" s="72"/>
    </row>
    <row r="58" spans="1:15" s="8" customFormat="1" x14ac:dyDescent="0.2">
      <c r="A58" s="28">
        <f>IF(F58&lt;&gt;"",1+MAX($A$6:A57),"")</f>
        <v>34</v>
      </c>
      <c r="B58" s="35" t="s">
        <v>56</v>
      </c>
      <c r="C58" s="36" t="s">
        <v>57</v>
      </c>
      <c r="D58" s="6"/>
      <c r="E58" s="37" t="s">
        <v>115</v>
      </c>
      <c r="F58" s="38">
        <f>4*8.5*0.376*1.2*8</f>
        <v>122.7264</v>
      </c>
      <c r="G58" s="51">
        <v>7.0000000000000007E-2</v>
      </c>
      <c r="H58" s="16">
        <f>F58*(1+G58)</f>
        <v>131.31724800000001</v>
      </c>
      <c r="I58" s="17" t="s">
        <v>18</v>
      </c>
      <c r="J58" s="224">
        <f>J$11</f>
        <v>0</v>
      </c>
      <c r="K58" s="224">
        <f>K$11</f>
        <v>0</v>
      </c>
      <c r="L58" s="86">
        <f>J58+K58</f>
        <v>0</v>
      </c>
      <c r="M58" s="39">
        <f>L58*H58</f>
        <v>0</v>
      </c>
      <c r="N58" s="29"/>
      <c r="O58" s="72"/>
    </row>
    <row r="59" spans="1:15" s="8" customFormat="1" x14ac:dyDescent="0.2">
      <c r="A59" s="28">
        <f>IF(F59&lt;&gt;"",1+MAX($A$6:A58),"")</f>
        <v>35</v>
      </c>
      <c r="B59" s="35" t="s">
        <v>56</v>
      </c>
      <c r="C59" s="36" t="s">
        <v>57</v>
      </c>
      <c r="D59" s="6"/>
      <c r="E59" s="37" t="s">
        <v>120</v>
      </c>
      <c r="F59" s="38">
        <f>4*2*1.67*8</f>
        <v>106.88</v>
      </c>
      <c r="G59" s="51">
        <v>7.0000000000000007E-2</v>
      </c>
      <c r="H59" s="16">
        <f>F59*(1+G59)</f>
        <v>114.3616</v>
      </c>
      <c r="I59" s="17" t="s">
        <v>19</v>
      </c>
      <c r="J59" s="66">
        <v>0</v>
      </c>
      <c r="K59" s="66">
        <v>0</v>
      </c>
      <c r="L59" s="86">
        <f>J59+K59</f>
        <v>0</v>
      </c>
      <c r="M59" s="39">
        <f>L59*H59</f>
        <v>0</v>
      </c>
      <c r="N59" s="29"/>
      <c r="O59" s="72"/>
    </row>
    <row r="60" spans="1:15" s="8" customFormat="1" ht="16.5" thickBot="1" x14ac:dyDescent="0.25">
      <c r="A60" s="28" t="str">
        <f>IF(F60&lt;&gt;"",1+MAX($A$6:A59),"")</f>
        <v/>
      </c>
      <c r="B60" s="35"/>
      <c r="C60" s="36"/>
      <c r="D60" s="6"/>
      <c r="E60" s="141"/>
      <c r="F60" s="14"/>
      <c r="G60" s="51"/>
      <c r="H60" s="52"/>
      <c r="I60" s="53"/>
      <c r="J60" s="50"/>
      <c r="K60" s="50"/>
      <c r="L60" s="85"/>
      <c r="M60" s="39"/>
      <c r="N60" s="29"/>
    </row>
    <row r="61" spans="1:15" s="8" customFormat="1" ht="79.5" thickBot="1" x14ac:dyDescent="0.25">
      <c r="A61" s="28" t="str">
        <f>IF(F61&lt;&gt;"",1+MAX($A$6:A60),"")</f>
        <v/>
      </c>
      <c r="B61" s="35"/>
      <c r="C61" s="36"/>
      <c r="D61" s="36"/>
      <c r="E61" s="44" t="s">
        <v>122</v>
      </c>
      <c r="F61" s="140"/>
      <c r="G61" s="45"/>
      <c r="H61" s="16"/>
      <c r="I61" s="17"/>
      <c r="J61" s="46"/>
      <c r="K61" s="46"/>
      <c r="L61" s="83"/>
      <c r="M61" s="47"/>
      <c r="N61" s="29"/>
    </row>
    <row r="62" spans="1:15" s="8" customFormat="1" x14ac:dyDescent="0.2">
      <c r="A62" s="28">
        <f>IF(F62&lt;&gt;"",1+MAX($A$6:A61),"")</f>
        <v>36</v>
      </c>
      <c r="B62" s="35" t="s">
        <v>56</v>
      </c>
      <c r="C62" s="36" t="s">
        <v>57</v>
      </c>
      <c r="D62" s="6"/>
      <c r="E62" s="37" t="s">
        <v>113</v>
      </c>
      <c r="F62" s="38">
        <f>3.5*3.5*1.67*8/27</f>
        <v>6.061481481481481</v>
      </c>
      <c r="G62" s="49">
        <v>7.0000000000000007E-2</v>
      </c>
      <c r="H62" s="16">
        <f>F62*(1+G62)</f>
        <v>6.4857851851851853</v>
      </c>
      <c r="I62" s="17" t="s">
        <v>17</v>
      </c>
      <c r="J62" s="224">
        <f>J$10</f>
        <v>0</v>
      </c>
      <c r="K62" s="224">
        <f>K$10</f>
        <v>0</v>
      </c>
      <c r="L62" s="86">
        <f>J62+K62</f>
        <v>0</v>
      </c>
      <c r="M62" s="39">
        <f>L62*H62</f>
        <v>0</v>
      </c>
      <c r="N62" s="29"/>
      <c r="O62" s="72"/>
    </row>
    <row r="63" spans="1:15" s="8" customFormat="1" x14ac:dyDescent="0.2">
      <c r="A63" s="28">
        <f>IF(F63&lt;&gt;"",1+MAX($A$6:A62),"")</f>
        <v>37</v>
      </c>
      <c r="B63" s="35" t="s">
        <v>56</v>
      </c>
      <c r="C63" s="36" t="s">
        <v>57</v>
      </c>
      <c r="D63" s="6"/>
      <c r="E63" s="37" t="s">
        <v>63</v>
      </c>
      <c r="F63" s="38">
        <f>14*4*1.043*1.2*8</f>
        <v>560.71679999999992</v>
      </c>
      <c r="G63" s="51">
        <v>7.0000000000000007E-2</v>
      </c>
      <c r="H63" s="16">
        <f>F63*(1+G63)</f>
        <v>599.96697599999993</v>
      </c>
      <c r="I63" s="17" t="s">
        <v>18</v>
      </c>
      <c r="J63" s="224">
        <f>J$11</f>
        <v>0</v>
      </c>
      <c r="K63" s="224">
        <f>K$11</f>
        <v>0</v>
      </c>
      <c r="L63" s="86">
        <f>J63+K63</f>
        <v>0</v>
      </c>
      <c r="M63" s="39">
        <f>L63*H63</f>
        <v>0</v>
      </c>
      <c r="N63" s="29"/>
      <c r="O63" s="72"/>
    </row>
    <row r="64" spans="1:15" s="8" customFormat="1" x14ac:dyDescent="0.2">
      <c r="A64" s="28">
        <f>IF(F64&lt;&gt;"",1+MAX($A$6:A63),"")</f>
        <v>38</v>
      </c>
      <c r="B64" s="35" t="s">
        <v>56</v>
      </c>
      <c r="C64" s="36" t="s">
        <v>57</v>
      </c>
      <c r="D64" s="6"/>
      <c r="E64" s="37" t="s">
        <v>116</v>
      </c>
      <c r="F64" s="38">
        <f>4*14.5*0.668*1.2*8</f>
        <v>371.94239999999996</v>
      </c>
      <c r="G64" s="51">
        <v>7.0000000000000007E-2</v>
      </c>
      <c r="H64" s="16">
        <f>F64*(1+G64)</f>
        <v>397.97836799999999</v>
      </c>
      <c r="I64" s="17" t="s">
        <v>18</v>
      </c>
      <c r="J64" s="224">
        <f>J$11</f>
        <v>0</v>
      </c>
      <c r="K64" s="224">
        <f>K$11</f>
        <v>0</v>
      </c>
      <c r="L64" s="86">
        <f>J64+K64</f>
        <v>0</v>
      </c>
      <c r="M64" s="39">
        <f>L64*H64</f>
        <v>0</v>
      </c>
      <c r="N64" s="29"/>
      <c r="O64" s="72"/>
    </row>
    <row r="65" spans="1:16" s="8" customFormat="1" x14ac:dyDescent="0.2">
      <c r="A65" s="28">
        <f>IF(F65&lt;&gt;"",1+MAX($A$6:A64),"")</f>
        <v>39</v>
      </c>
      <c r="B65" s="35" t="s">
        <v>56</v>
      </c>
      <c r="C65" s="36" t="s">
        <v>57</v>
      </c>
      <c r="D65" s="6"/>
      <c r="E65" s="37" t="s">
        <v>120</v>
      </c>
      <c r="F65" s="38">
        <f>4*3.5*1.67*8</f>
        <v>187.04</v>
      </c>
      <c r="G65" s="51">
        <v>7.0000000000000007E-2</v>
      </c>
      <c r="H65" s="16">
        <f>F65*(1+G65)</f>
        <v>200.1328</v>
      </c>
      <c r="I65" s="17" t="s">
        <v>19</v>
      </c>
      <c r="J65" s="224">
        <f>J$59</f>
        <v>0</v>
      </c>
      <c r="K65" s="224">
        <f>K$59</f>
        <v>0</v>
      </c>
      <c r="L65" s="86">
        <f>J65+K65</f>
        <v>0</v>
      </c>
      <c r="M65" s="39">
        <f>L65*H65</f>
        <v>0</v>
      </c>
      <c r="N65" s="29"/>
      <c r="O65" s="72"/>
    </row>
    <row r="66" spans="1:16" s="8" customFormat="1" ht="16.5" thickBot="1" x14ac:dyDescent="0.25">
      <c r="A66" s="28" t="str">
        <f>IF(F66&lt;&gt;"",1+MAX($A$6:A65),"")</f>
        <v/>
      </c>
      <c r="B66" s="35"/>
      <c r="C66" s="36"/>
      <c r="D66" s="6"/>
      <c r="E66" s="141"/>
      <c r="F66" s="14"/>
      <c r="G66" s="51"/>
      <c r="H66" s="52"/>
      <c r="I66" s="53"/>
      <c r="J66" s="50"/>
      <c r="K66" s="50"/>
      <c r="L66" s="85"/>
      <c r="M66" s="39"/>
      <c r="N66" s="29"/>
    </row>
    <row r="67" spans="1:16" s="8" customFormat="1" ht="79.5" thickBot="1" x14ac:dyDescent="0.25">
      <c r="A67" s="28" t="str">
        <f>IF(F67&lt;&gt;"",1+MAX($A$6:A66),"")</f>
        <v/>
      </c>
      <c r="B67" s="35"/>
      <c r="C67" s="36"/>
      <c r="D67" s="36"/>
      <c r="E67" s="44" t="s">
        <v>123</v>
      </c>
      <c r="F67" s="140"/>
      <c r="G67" s="45"/>
      <c r="H67" s="16"/>
      <c r="I67" s="17"/>
      <c r="J67" s="46"/>
      <c r="K67" s="46"/>
      <c r="L67" s="83"/>
      <c r="M67" s="47"/>
      <c r="N67" s="29"/>
    </row>
    <row r="68" spans="1:16" s="8" customFormat="1" x14ac:dyDescent="0.2">
      <c r="A68" s="28">
        <f>IF(F68&lt;&gt;"",1+MAX($A$6:A67),"")</f>
        <v>40</v>
      </c>
      <c r="B68" s="35" t="s">
        <v>56</v>
      </c>
      <c r="C68" s="36" t="s">
        <v>57</v>
      </c>
      <c r="D68" s="6"/>
      <c r="E68" s="37" t="s">
        <v>113</v>
      </c>
      <c r="F68" s="38">
        <f>3.42*2.3*3/27</f>
        <v>0.874</v>
      </c>
      <c r="G68" s="49">
        <v>7.0000000000000007E-2</v>
      </c>
      <c r="H68" s="16">
        <f>F68*(1+G68)</f>
        <v>0.93518000000000001</v>
      </c>
      <c r="I68" s="17" t="s">
        <v>17</v>
      </c>
      <c r="J68" s="224">
        <f>J$10</f>
        <v>0</v>
      </c>
      <c r="K68" s="224">
        <f>K$10</f>
        <v>0</v>
      </c>
      <c r="L68" s="86">
        <f>J68+K68</f>
        <v>0</v>
      </c>
      <c r="M68" s="39">
        <f>L68*H68</f>
        <v>0</v>
      </c>
      <c r="N68" s="29"/>
      <c r="O68" s="72"/>
    </row>
    <row r="69" spans="1:16" s="8" customFormat="1" x14ac:dyDescent="0.2">
      <c r="A69" s="28">
        <f>IF(F69&lt;&gt;"",1+MAX($A$6:A68),"")</f>
        <v>41</v>
      </c>
      <c r="B69" s="35" t="s">
        <v>56</v>
      </c>
      <c r="C69" s="36" t="s">
        <v>57</v>
      </c>
      <c r="D69" s="6"/>
      <c r="E69" s="37" t="s">
        <v>64</v>
      </c>
      <c r="F69" s="38">
        <f>3*4.5*0.376*1.2</f>
        <v>6.0911999999999997</v>
      </c>
      <c r="G69" s="51">
        <v>7.0000000000000007E-2</v>
      </c>
      <c r="H69" s="16">
        <f>F69*(1+G69)</f>
        <v>6.5175840000000003</v>
      </c>
      <c r="I69" s="17" t="s">
        <v>18</v>
      </c>
      <c r="J69" s="224">
        <f>J$11</f>
        <v>0</v>
      </c>
      <c r="K69" s="224">
        <f>K$11</f>
        <v>0</v>
      </c>
      <c r="L69" s="86">
        <f>J69+K69</f>
        <v>0</v>
      </c>
      <c r="M69" s="39">
        <f>L69*H69</f>
        <v>0</v>
      </c>
      <c r="N69" s="29"/>
      <c r="O69" s="72"/>
    </row>
    <row r="70" spans="1:16" s="8" customFormat="1" x14ac:dyDescent="0.2">
      <c r="A70" s="28">
        <f>IF(F70&lt;&gt;"",1+MAX($A$6:A69),"")</f>
        <v>42</v>
      </c>
      <c r="B70" s="35" t="s">
        <v>56</v>
      </c>
      <c r="C70" s="36" t="s">
        <v>57</v>
      </c>
      <c r="D70" s="6"/>
      <c r="E70" s="37" t="s">
        <v>117</v>
      </c>
      <c r="F70" s="38">
        <f>4*10.5*0.376*1.2</f>
        <v>18.950399999999998</v>
      </c>
      <c r="G70" s="51">
        <v>7.0000000000000007E-2</v>
      </c>
      <c r="H70" s="16">
        <f>F70*(1+G70)</f>
        <v>20.276927999999998</v>
      </c>
      <c r="I70" s="17" t="s">
        <v>18</v>
      </c>
      <c r="J70" s="224">
        <f>J$11</f>
        <v>0</v>
      </c>
      <c r="K70" s="224">
        <f>K$11</f>
        <v>0</v>
      </c>
      <c r="L70" s="86">
        <f>J70+K70</f>
        <v>0</v>
      </c>
      <c r="M70" s="39">
        <f>L70*H70</f>
        <v>0</v>
      </c>
      <c r="N70" s="29"/>
      <c r="O70" s="72"/>
    </row>
    <row r="71" spans="1:16" s="8" customFormat="1" x14ac:dyDescent="0.2">
      <c r="A71" s="28">
        <f>IF(F71&lt;&gt;"",1+MAX($A$6:A70),"")</f>
        <v>43</v>
      </c>
      <c r="B71" s="35" t="s">
        <v>56</v>
      </c>
      <c r="C71" s="36" t="s">
        <v>57</v>
      </c>
      <c r="D71" s="6"/>
      <c r="E71" s="37" t="s">
        <v>120</v>
      </c>
      <c r="F71" s="38">
        <f>2*(3.42+2.3)*3</f>
        <v>34.32</v>
      </c>
      <c r="G71" s="51">
        <v>7.0000000000000007E-2</v>
      </c>
      <c r="H71" s="16">
        <f>F71*(1+G71)</f>
        <v>36.7224</v>
      </c>
      <c r="I71" s="17" t="s">
        <v>19</v>
      </c>
      <c r="J71" s="224">
        <f>J$59</f>
        <v>0</v>
      </c>
      <c r="K71" s="224">
        <f>K$59</f>
        <v>0</v>
      </c>
      <c r="L71" s="86">
        <f>J71+K71</f>
        <v>0</v>
      </c>
      <c r="M71" s="39">
        <f>L71*H71</f>
        <v>0</v>
      </c>
      <c r="N71" s="29"/>
      <c r="O71" s="72"/>
    </row>
    <row r="72" spans="1:16" s="8" customFormat="1" ht="16.5" thickBot="1" x14ac:dyDescent="0.25">
      <c r="A72" s="28" t="str">
        <f>IF(F72&lt;&gt;"",1+MAX($A$6:A71),"")</f>
        <v/>
      </c>
      <c r="B72" s="35"/>
      <c r="C72" s="36"/>
      <c r="D72" s="6"/>
      <c r="E72" s="141"/>
      <c r="F72" s="14"/>
      <c r="G72" s="51"/>
      <c r="H72" s="52"/>
      <c r="I72" s="53"/>
      <c r="J72" s="50"/>
      <c r="K72" s="50"/>
      <c r="L72" s="85"/>
      <c r="M72" s="39"/>
      <c r="N72" s="29"/>
    </row>
    <row r="73" spans="1:16" s="8" customFormat="1" ht="79.5" thickBot="1" x14ac:dyDescent="0.25">
      <c r="A73" s="28" t="str">
        <f>IF(F73&lt;&gt;"",1+MAX($A$6:A72),"")</f>
        <v/>
      </c>
      <c r="B73" s="35"/>
      <c r="C73" s="36"/>
      <c r="D73" s="36"/>
      <c r="E73" s="44" t="s">
        <v>111</v>
      </c>
      <c r="F73" s="140"/>
      <c r="G73" s="45"/>
      <c r="H73" s="16"/>
      <c r="I73" s="17"/>
      <c r="J73" s="46"/>
      <c r="K73" s="46"/>
      <c r="L73" s="83"/>
      <c r="M73" s="47"/>
      <c r="N73" s="29"/>
    </row>
    <row r="74" spans="1:16" s="8" customFormat="1" x14ac:dyDescent="0.2">
      <c r="A74" s="28">
        <f>IF(F74&lt;&gt;"",1+MAX($A$6:A73),"")</f>
        <v>44</v>
      </c>
      <c r="B74" s="35" t="s">
        <v>56</v>
      </c>
      <c r="C74" s="36" t="s">
        <v>57</v>
      </c>
      <c r="D74" s="6"/>
      <c r="E74" s="37" t="s">
        <v>113</v>
      </c>
      <c r="F74" s="38">
        <f>3.42*3*3/27</f>
        <v>1.1400000000000001</v>
      </c>
      <c r="G74" s="49">
        <v>7.0000000000000007E-2</v>
      </c>
      <c r="H74" s="16">
        <f>F74*(1+G74)</f>
        <v>1.2198000000000002</v>
      </c>
      <c r="I74" s="17" t="s">
        <v>17</v>
      </c>
      <c r="J74" s="224">
        <f>J$10</f>
        <v>0</v>
      </c>
      <c r="K74" s="224">
        <f>K$10</f>
        <v>0</v>
      </c>
      <c r="L74" s="86">
        <f>J74+K74</f>
        <v>0</v>
      </c>
      <c r="M74" s="39">
        <f>L74*H74</f>
        <v>0</v>
      </c>
      <c r="N74" s="29"/>
      <c r="O74" s="72"/>
    </row>
    <row r="75" spans="1:16" s="8" customFormat="1" x14ac:dyDescent="0.2">
      <c r="A75" s="28">
        <f>IF(F75&lt;&gt;"",1+MAX($A$6:A74),"")</f>
        <v>45</v>
      </c>
      <c r="B75" s="35" t="s">
        <v>56</v>
      </c>
      <c r="C75" s="36" t="s">
        <v>57</v>
      </c>
      <c r="D75" s="6"/>
      <c r="E75" s="37" t="s">
        <v>118</v>
      </c>
      <c r="F75" s="38">
        <f>1.043*1.2*2*2*3.42*3*1.13</f>
        <v>58.04320031999999</v>
      </c>
      <c r="G75" s="51">
        <v>7.0000000000000007E-2</v>
      </c>
      <c r="H75" s="16">
        <f>F75*(1+G75)</f>
        <v>62.10622434239999</v>
      </c>
      <c r="I75" s="17" t="s">
        <v>18</v>
      </c>
      <c r="J75" s="224">
        <f>J$11</f>
        <v>0</v>
      </c>
      <c r="K75" s="224">
        <f>K$11</f>
        <v>0</v>
      </c>
      <c r="L75" s="86">
        <f>J75+K75</f>
        <v>0</v>
      </c>
      <c r="M75" s="39">
        <f>L75*H75</f>
        <v>0</v>
      </c>
      <c r="N75" s="29"/>
      <c r="O75" s="72"/>
    </row>
    <row r="76" spans="1:16" s="8" customFormat="1" x14ac:dyDescent="0.2">
      <c r="A76" s="28">
        <f>IF(F76&lt;&gt;"",1+MAX($A$6:A75),"")</f>
        <v>46</v>
      </c>
      <c r="B76" s="35" t="s">
        <v>56</v>
      </c>
      <c r="C76" s="36" t="s">
        <v>57</v>
      </c>
      <c r="D76" s="6"/>
      <c r="E76" s="37" t="s">
        <v>120</v>
      </c>
      <c r="F76" s="38">
        <f>2*(3.42+3)*3</f>
        <v>38.519999999999996</v>
      </c>
      <c r="G76" s="51">
        <v>7.0000000000000007E-2</v>
      </c>
      <c r="H76" s="16">
        <f>F76*(1+G76)</f>
        <v>41.2164</v>
      </c>
      <c r="I76" s="17" t="s">
        <v>19</v>
      </c>
      <c r="J76" s="224">
        <f>J$59</f>
        <v>0</v>
      </c>
      <c r="K76" s="224">
        <f>K$59</f>
        <v>0</v>
      </c>
      <c r="L76" s="86">
        <f>J76+K76</f>
        <v>0</v>
      </c>
      <c r="M76" s="39">
        <f>L76*H76</f>
        <v>0</v>
      </c>
      <c r="N76" s="29"/>
      <c r="O76" s="72"/>
    </row>
    <row r="77" spans="1:16" s="8" customFormat="1" ht="16.5" thickBot="1" x14ac:dyDescent="0.25">
      <c r="A77" s="28" t="str">
        <f>IF(F77&lt;&gt;"",1+MAX($A$6:A76),"")</f>
        <v/>
      </c>
      <c r="B77" s="35"/>
      <c r="C77" s="36"/>
      <c r="D77" s="6"/>
      <c r="E77" s="141"/>
      <c r="F77" s="14"/>
      <c r="G77" s="51"/>
      <c r="H77" s="52"/>
      <c r="I77" s="53"/>
      <c r="J77" s="50"/>
      <c r="K77" s="50"/>
      <c r="L77" s="85"/>
      <c r="M77" s="39"/>
      <c r="N77" s="29"/>
    </row>
    <row r="78" spans="1:16" s="8" customFormat="1" ht="16.5" thickBot="1" x14ac:dyDescent="0.25">
      <c r="A78" s="28" t="str">
        <f>IF(F78&lt;&gt;"",1+MAX($A$6:A77),"")</f>
        <v/>
      </c>
      <c r="B78" s="35"/>
      <c r="C78" s="54"/>
      <c r="D78" s="31"/>
      <c r="E78" s="225" t="s">
        <v>65</v>
      </c>
      <c r="F78" s="226"/>
      <c r="G78" s="32"/>
      <c r="H78" s="33"/>
      <c r="I78" s="34"/>
      <c r="J78" s="103"/>
      <c r="K78" s="103"/>
      <c r="L78" s="104"/>
      <c r="M78" s="105"/>
      <c r="N78" s="29"/>
    </row>
    <row r="79" spans="1:16" s="8" customFormat="1" ht="16.5" thickBot="1" x14ac:dyDescent="0.25">
      <c r="A79" s="28" t="str">
        <f>IF(F79&lt;&gt;"",1+MAX($A$6:A78),"")</f>
        <v/>
      </c>
      <c r="B79" s="35"/>
      <c r="C79" s="36"/>
      <c r="D79" s="36"/>
      <c r="E79" s="44" t="s">
        <v>112</v>
      </c>
      <c r="F79" s="140"/>
      <c r="G79" s="45"/>
      <c r="H79" s="16"/>
      <c r="I79" s="17"/>
      <c r="J79" s="46"/>
      <c r="K79" s="46"/>
      <c r="L79" s="83"/>
      <c r="M79" s="47"/>
      <c r="N79" s="29"/>
    </row>
    <row r="80" spans="1:16" s="8" customFormat="1" ht="31.5" x14ac:dyDescent="0.2">
      <c r="A80" s="28">
        <f>IF(F80&lt;&gt;"",1+MAX($A$6:A79),"")</f>
        <v>47</v>
      </c>
      <c r="B80" s="35" t="s">
        <v>56</v>
      </c>
      <c r="C80" s="36" t="s">
        <v>57</v>
      </c>
      <c r="D80" s="223">
        <f>H80*0.334/27</f>
        <v>63.759239259259267</v>
      </c>
      <c r="E80" s="48" t="s">
        <v>124</v>
      </c>
      <c r="F80" s="38">
        <v>4817</v>
      </c>
      <c r="G80" s="49">
        <v>7.0000000000000007E-2</v>
      </c>
      <c r="H80" s="16">
        <f t="shared" ref="H80:H86" si="0">F80*(1+G80)</f>
        <v>5154.1900000000005</v>
      </c>
      <c r="I80" s="17" t="s">
        <v>52</v>
      </c>
      <c r="J80" s="228">
        <v>0</v>
      </c>
      <c r="K80" s="228">
        <v>0</v>
      </c>
      <c r="L80" s="86">
        <f t="shared" ref="L80:L86" si="1">J80+K80</f>
        <v>0</v>
      </c>
      <c r="M80" s="39">
        <f t="shared" ref="M80:M86" si="2">L80*H80</f>
        <v>0</v>
      </c>
      <c r="N80" s="29"/>
      <c r="O80" s="81"/>
      <c r="P80" s="81"/>
    </row>
    <row r="81" spans="1:16" s="8" customFormat="1" x14ac:dyDescent="0.2">
      <c r="A81" s="28">
        <f>IF(F81&lt;&gt;"",1+MAX($A$6:A80),"")</f>
        <v>48</v>
      </c>
      <c r="B81" s="35" t="s">
        <v>56</v>
      </c>
      <c r="C81" s="36" t="s">
        <v>57</v>
      </c>
      <c r="D81" s="6"/>
      <c r="E81" s="37" t="s">
        <v>125</v>
      </c>
      <c r="F81" s="38">
        <v>306</v>
      </c>
      <c r="G81" s="49">
        <v>7.0000000000000007E-2</v>
      </c>
      <c r="H81" s="16">
        <f t="shared" si="0"/>
        <v>327.42</v>
      </c>
      <c r="I81" s="17" t="s">
        <v>53</v>
      </c>
      <c r="J81" s="66">
        <v>0</v>
      </c>
      <c r="K81" s="66">
        <v>0</v>
      </c>
      <c r="L81" s="86">
        <f t="shared" si="1"/>
        <v>0</v>
      </c>
      <c r="M81" s="39">
        <f t="shared" si="2"/>
        <v>0</v>
      </c>
      <c r="N81" s="29"/>
      <c r="O81" s="72"/>
    </row>
    <row r="82" spans="1:16" s="8" customFormat="1" x14ac:dyDescent="0.2">
      <c r="A82" s="28">
        <f>IF(F82&lt;&gt;"",1+MAX($A$6:A81),"")</f>
        <v>49</v>
      </c>
      <c r="B82" s="35" t="s">
        <v>56</v>
      </c>
      <c r="C82" s="36" t="s">
        <v>57</v>
      </c>
      <c r="D82" s="6"/>
      <c r="E82" s="37" t="s">
        <v>126</v>
      </c>
      <c r="F82" s="38">
        <f>F80</f>
        <v>4817</v>
      </c>
      <c r="G82" s="51">
        <v>7.0000000000000007E-2</v>
      </c>
      <c r="H82" s="16">
        <f t="shared" si="0"/>
        <v>5154.1900000000005</v>
      </c>
      <c r="I82" s="17" t="s">
        <v>52</v>
      </c>
      <c r="J82" s="66">
        <v>0</v>
      </c>
      <c r="K82" s="66">
        <v>0</v>
      </c>
      <c r="L82" s="86">
        <f t="shared" si="1"/>
        <v>0</v>
      </c>
      <c r="M82" s="39">
        <f t="shared" si="2"/>
        <v>0</v>
      </c>
      <c r="N82" s="29"/>
      <c r="O82" s="72"/>
    </row>
    <row r="83" spans="1:16" s="8" customFormat="1" x14ac:dyDescent="0.2">
      <c r="A83" s="28">
        <f>IF(F83&lt;&gt;"",1+MAX($A$6:A82),"")</f>
        <v>50</v>
      </c>
      <c r="B83" s="35" t="s">
        <v>56</v>
      </c>
      <c r="C83" s="36" t="s">
        <v>80</v>
      </c>
      <c r="D83" s="6"/>
      <c r="E83" s="37" t="s">
        <v>127</v>
      </c>
      <c r="F83" s="38">
        <f>F82*0.33/27</f>
        <v>58.87444444444445</v>
      </c>
      <c r="G83" s="51">
        <v>7.0000000000000007E-2</v>
      </c>
      <c r="H83" s="16">
        <f t="shared" si="0"/>
        <v>62.995655555555565</v>
      </c>
      <c r="I83" s="17" t="s">
        <v>17</v>
      </c>
      <c r="J83" s="66">
        <v>0</v>
      </c>
      <c r="K83" s="66">
        <v>0</v>
      </c>
      <c r="L83" s="86">
        <f t="shared" si="1"/>
        <v>0</v>
      </c>
      <c r="M83" s="39">
        <f t="shared" si="2"/>
        <v>0</v>
      </c>
      <c r="N83" s="29"/>
      <c r="O83" s="72"/>
    </row>
    <row r="84" spans="1:16" s="8" customFormat="1" x14ac:dyDescent="0.2">
      <c r="A84" s="28">
        <f>IF(F84&lt;&gt;"",1+MAX($A$6:A83),"")</f>
        <v>51</v>
      </c>
      <c r="B84" s="35" t="s">
        <v>56</v>
      </c>
      <c r="C84" s="36" t="s">
        <v>57</v>
      </c>
      <c r="D84" s="6"/>
      <c r="E84" s="37" t="s">
        <v>128</v>
      </c>
      <c r="F84" s="38">
        <f>F82</f>
        <v>4817</v>
      </c>
      <c r="G84" s="51">
        <v>7.0000000000000007E-2</v>
      </c>
      <c r="H84" s="16">
        <f t="shared" si="0"/>
        <v>5154.1900000000005</v>
      </c>
      <c r="I84" s="17" t="s">
        <v>52</v>
      </c>
      <c r="J84" s="228">
        <v>0</v>
      </c>
      <c r="K84" s="228">
        <v>0</v>
      </c>
      <c r="L84" s="86">
        <f t="shared" si="1"/>
        <v>0</v>
      </c>
      <c r="M84" s="39">
        <f t="shared" si="2"/>
        <v>0</v>
      </c>
      <c r="N84" s="29"/>
    </row>
    <row r="85" spans="1:16" s="8" customFormat="1" x14ac:dyDescent="0.2">
      <c r="A85" s="28">
        <f>IF(F85&lt;&gt;"",1+MAX($A$6:A84),"")</f>
        <v>52</v>
      </c>
      <c r="B85" s="35" t="s">
        <v>56</v>
      </c>
      <c r="C85" s="36" t="s">
        <v>57</v>
      </c>
      <c r="D85" s="6"/>
      <c r="E85" s="37" t="s">
        <v>129</v>
      </c>
      <c r="F85" s="38">
        <f>0.16*F82</f>
        <v>770.72</v>
      </c>
      <c r="G85" s="51">
        <v>7.0000000000000007E-2</v>
      </c>
      <c r="H85" s="16">
        <f t="shared" si="0"/>
        <v>824.67040000000009</v>
      </c>
      <c r="I85" s="17" t="s">
        <v>53</v>
      </c>
      <c r="J85" s="66">
        <v>0</v>
      </c>
      <c r="K85" s="66">
        <v>0</v>
      </c>
      <c r="L85" s="86">
        <f t="shared" si="1"/>
        <v>0</v>
      </c>
      <c r="M85" s="39">
        <f t="shared" si="2"/>
        <v>0</v>
      </c>
      <c r="N85" s="29"/>
    </row>
    <row r="86" spans="1:16" s="8" customFormat="1" ht="16.5" thickBot="1" x14ac:dyDescent="0.25">
      <c r="A86" s="28">
        <f>IF(F86&lt;&gt;"",1+MAX($A$6:A85),"")</f>
        <v>53</v>
      </c>
      <c r="B86" s="35" t="s">
        <v>56</v>
      </c>
      <c r="C86" s="36" t="s">
        <v>57</v>
      </c>
      <c r="D86" s="6"/>
      <c r="E86" s="37" t="s">
        <v>130</v>
      </c>
      <c r="F86" s="38">
        <f>F81</f>
        <v>306</v>
      </c>
      <c r="G86" s="51">
        <v>7.0000000000000007E-2</v>
      </c>
      <c r="H86" s="16">
        <f t="shared" si="0"/>
        <v>327.42</v>
      </c>
      <c r="I86" s="17" t="s">
        <v>53</v>
      </c>
      <c r="J86" s="66">
        <v>0</v>
      </c>
      <c r="K86" s="66">
        <v>0</v>
      </c>
      <c r="L86" s="86">
        <f t="shared" si="1"/>
        <v>0</v>
      </c>
      <c r="M86" s="39">
        <f t="shared" si="2"/>
        <v>0</v>
      </c>
      <c r="N86" s="29"/>
    </row>
    <row r="87" spans="1:16" s="8" customFormat="1" ht="16.5" thickBot="1" x14ac:dyDescent="0.25">
      <c r="A87" s="28" t="str">
        <f>IF(F87&lt;&gt;"",1+MAX($A$6:A86),"")</f>
        <v/>
      </c>
      <c r="B87" s="35"/>
      <c r="C87" s="36"/>
      <c r="D87" s="36"/>
      <c r="E87" s="44" t="s">
        <v>66</v>
      </c>
      <c r="F87" s="140"/>
      <c r="G87" s="45"/>
      <c r="H87" s="16"/>
      <c r="I87" s="17"/>
      <c r="J87" s="46"/>
      <c r="K87" s="46"/>
      <c r="L87" s="83"/>
      <c r="M87" s="47"/>
      <c r="N87" s="29"/>
    </row>
    <row r="88" spans="1:16" s="8" customFormat="1" ht="31.5" x14ac:dyDescent="0.2">
      <c r="A88" s="28">
        <f>IF(F88&lt;&gt;"",1+MAX($A$6:A87),"")</f>
        <v>54</v>
      </c>
      <c r="B88" s="35" t="s">
        <v>56</v>
      </c>
      <c r="C88" s="36" t="s">
        <v>57</v>
      </c>
      <c r="D88" s="223">
        <f>H88*0.5/27</f>
        <v>14.56388888888889</v>
      </c>
      <c r="E88" s="48" t="s">
        <v>131</v>
      </c>
      <c r="F88" s="38">
        <v>735</v>
      </c>
      <c r="G88" s="49">
        <v>7.0000000000000007E-2</v>
      </c>
      <c r="H88" s="16">
        <f t="shared" ref="H88:H100" si="3">F88*(1+G88)</f>
        <v>786.45</v>
      </c>
      <c r="I88" s="17" t="s">
        <v>52</v>
      </c>
      <c r="J88" s="228">
        <v>0</v>
      </c>
      <c r="K88" s="228">
        <v>0</v>
      </c>
      <c r="L88" s="86">
        <f t="shared" ref="L88:L100" si="4">J88+K88</f>
        <v>0</v>
      </c>
      <c r="M88" s="39">
        <f t="shared" ref="M88:M100" si="5">L88*H88</f>
        <v>0</v>
      </c>
      <c r="N88" s="29"/>
      <c r="O88" s="81"/>
      <c r="P88" s="81"/>
    </row>
    <row r="89" spans="1:16" s="8" customFormat="1" x14ac:dyDescent="0.2">
      <c r="A89" s="28">
        <f>IF(F89&lt;&gt;"",1+MAX($A$6:A88),"")</f>
        <v>55</v>
      </c>
      <c r="B89" s="35" t="s">
        <v>56</v>
      </c>
      <c r="C89" s="36" t="s">
        <v>57</v>
      </c>
      <c r="D89" s="6"/>
      <c r="E89" s="37" t="s">
        <v>67</v>
      </c>
      <c r="F89" s="38">
        <v>158</v>
      </c>
      <c r="G89" s="49">
        <v>7.0000000000000007E-2</v>
      </c>
      <c r="H89" s="16">
        <f t="shared" si="3"/>
        <v>169.06</v>
      </c>
      <c r="I89" s="17" t="s">
        <v>53</v>
      </c>
      <c r="J89" s="66">
        <v>0</v>
      </c>
      <c r="K89" s="66">
        <v>0</v>
      </c>
      <c r="L89" s="86">
        <f t="shared" si="4"/>
        <v>0</v>
      </c>
      <c r="M89" s="39">
        <f t="shared" si="5"/>
        <v>0</v>
      </c>
      <c r="N89" s="29"/>
      <c r="O89" s="72"/>
    </row>
    <row r="90" spans="1:16" s="8" customFormat="1" x14ac:dyDescent="0.2">
      <c r="A90" s="28">
        <f>IF(F90&lt;&gt;"",1+MAX($A$6:A89),"")</f>
        <v>56</v>
      </c>
      <c r="B90" s="35" t="s">
        <v>56</v>
      </c>
      <c r="C90" s="36" t="s">
        <v>57</v>
      </c>
      <c r="D90" s="6"/>
      <c r="E90" s="37" t="s">
        <v>126</v>
      </c>
      <c r="F90" s="38">
        <f>F88</f>
        <v>735</v>
      </c>
      <c r="G90" s="51">
        <v>7.0000000000000007E-2</v>
      </c>
      <c r="H90" s="16">
        <f t="shared" si="3"/>
        <v>786.45</v>
      </c>
      <c r="I90" s="17" t="s">
        <v>52</v>
      </c>
      <c r="J90" s="224">
        <f>J$82</f>
        <v>0</v>
      </c>
      <c r="K90" s="224">
        <f>K$82</f>
        <v>0</v>
      </c>
      <c r="L90" s="86">
        <f t="shared" si="4"/>
        <v>0</v>
      </c>
      <c r="M90" s="39">
        <f t="shared" si="5"/>
        <v>0</v>
      </c>
      <c r="N90" s="29"/>
      <c r="O90" s="72"/>
    </row>
    <row r="91" spans="1:16" s="8" customFormat="1" x14ac:dyDescent="0.2">
      <c r="A91" s="28">
        <f>IF(F91&lt;&gt;"",1+MAX($A$6:A90),"")</f>
        <v>57</v>
      </c>
      <c r="B91" s="35" t="s">
        <v>56</v>
      </c>
      <c r="C91" s="36" t="s">
        <v>80</v>
      </c>
      <c r="D91" s="6"/>
      <c r="E91" s="37" t="s">
        <v>127</v>
      </c>
      <c r="F91" s="38">
        <f>F90*0.33/27</f>
        <v>8.9833333333333343</v>
      </c>
      <c r="G91" s="51">
        <v>7.0000000000000007E-2</v>
      </c>
      <c r="H91" s="16">
        <f t="shared" si="3"/>
        <v>9.6121666666666687</v>
      </c>
      <c r="I91" s="17" t="s">
        <v>17</v>
      </c>
      <c r="J91" s="224">
        <f>J$83</f>
        <v>0</v>
      </c>
      <c r="K91" s="224">
        <f>K$83</f>
        <v>0</v>
      </c>
      <c r="L91" s="86">
        <f t="shared" si="4"/>
        <v>0</v>
      </c>
      <c r="M91" s="39">
        <f t="shared" si="5"/>
        <v>0</v>
      </c>
      <c r="N91" s="29"/>
      <c r="O91" s="72"/>
    </row>
    <row r="92" spans="1:16" s="8" customFormat="1" x14ac:dyDescent="0.2">
      <c r="A92" s="28">
        <f>IF(F92&lt;&gt;"",1+MAX($A$6:A91),"")</f>
        <v>58</v>
      </c>
      <c r="B92" s="35" t="s">
        <v>56</v>
      </c>
      <c r="C92" s="36" t="s">
        <v>57</v>
      </c>
      <c r="D92" s="6"/>
      <c r="E92" s="37" t="s">
        <v>128</v>
      </c>
      <c r="F92" s="38">
        <f>F90</f>
        <v>735</v>
      </c>
      <c r="G92" s="51">
        <v>7.0000000000000007E-2</v>
      </c>
      <c r="H92" s="16">
        <f t="shared" si="3"/>
        <v>786.45</v>
      </c>
      <c r="I92" s="17" t="s">
        <v>52</v>
      </c>
      <c r="J92" s="224">
        <f>J$84</f>
        <v>0</v>
      </c>
      <c r="K92" s="224">
        <f>K$84</f>
        <v>0</v>
      </c>
      <c r="L92" s="86">
        <f t="shared" si="4"/>
        <v>0</v>
      </c>
      <c r="M92" s="39">
        <f t="shared" si="5"/>
        <v>0</v>
      </c>
      <c r="N92" s="29"/>
    </row>
    <row r="93" spans="1:16" s="8" customFormat="1" x14ac:dyDescent="0.2">
      <c r="A93" s="28">
        <f>IF(F93&lt;&gt;"",1+MAX($A$6:A92),"")</f>
        <v>59</v>
      </c>
      <c r="B93" s="35" t="s">
        <v>56</v>
      </c>
      <c r="C93" s="36" t="s">
        <v>57</v>
      </c>
      <c r="D93" s="6"/>
      <c r="E93" s="37" t="s">
        <v>129</v>
      </c>
      <c r="F93" s="38">
        <f>0.16*F90</f>
        <v>117.60000000000001</v>
      </c>
      <c r="G93" s="51">
        <v>7.0000000000000007E-2</v>
      </c>
      <c r="H93" s="16">
        <f t="shared" si="3"/>
        <v>125.83200000000002</v>
      </c>
      <c r="I93" s="17" t="s">
        <v>53</v>
      </c>
      <c r="J93" s="224">
        <f>J$85</f>
        <v>0</v>
      </c>
      <c r="K93" s="224">
        <f>K$85</f>
        <v>0</v>
      </c>
      <c r="L93" s="86">
        <f t="shared" si="4"/>
        <v>0</v>
      </c>
      <c r="M93" s="39">
        <f t="shared" si="5"/>
        <v>0</v>
      </c>
      <c r="N93" s="29"/>
    </row>
    <row r="94" spans="1:16" s="8" customFormat="1" x14ac:dyDescent="0.2">
      <c r="A94" s="28">
        <f>IF(F94&lt;&gt;"",1+MAX($A$6:A93),"")</f>
        <v>60</v>
      </c>
      <c r="B94" s="35" t="s">
        <v>56</v>
      </c>
      <c r="C94" s="36" t="s">
        <v>57</v>
      </c>
      <c r="D94" s="6"/>
      <c r="E94" s="37" t="s">
        <v>130</v>
      </c>
      <c r="F94" s="38">
        <f>F89</f>
        <v>158</v>
      </c>
      <c r="G94" s="51">
        <v>7.0000000000000007E-2</v>
      </c>
      <c r="H94" s="16">
        <f t="shared" si="3"/>
        <v>169.06</v>
      </c>
      <c r="I94" s="17" t="s">
        <v>53</v>
      </c>
      <c r="J94" s="224">
        <f>J$86</f>
        <v>0</v>
      </c>
      <c r="K94" s="224">
        <f>K$86</f>
        <v>0</v>
      </c>
      <c r="L94" s="86">
        <f t="shared" si="4"/>
        <v>0</v>
      </c>
      <c r="M94" s="39">
        <f t="shared" si="5"/>
        <v>0</v>
      </c>
      <c r="N94" s="29"/>
    </row>
    <row r="95" spans="1:16" s="8" customFormat="1" x14ac:dyDescent="0.2">
      <c r="A95" s="28" t="str">
        <f>IF(F95&lt;&gt;"",1+MAX($A$6:A94),"")</f>
        <v/>
      </c>
      <c r="B95" s="35"/>
      <c r="C95" s="36"/>
      <c r="D95" s="6"/>
      <c r="E95" s="37"/>
      <c r="F95" s="38"/>
      <c r="G95" s="51"/>
      <c r="H95" s="16"/>
      <c r="I95" s="17"/>
      <c r="J95" s="224"/>
      <c r="K95" s="224"/>
      <c r="L95" s="86"/>
      <c r="M95" s="39"/>
      <c r="N95" s="29"/>
    </row>
    <row r="96" spans="1:16" s="8" customFormat="1" x14ac:dyDescent="0.2">
      <c r="A96" s="28" t="str">
        <f>IF(F96&lt;&gt;"",1+MAX($A$6:A95),"")</f>
        <v/>
      </c>
      <c r="B96" s="35"/>
      <c r="C96" s="36"/>
      <c r="D96" s="6"/>
      <c r="E96" s="227" t="s">
        <v>132</v>
      </c>
      <c r="F96" s="38"/>
      <c r="G96" s="51"/>
      <c r="H96" s="16"/>
      <c r="I96" s="17"/>
      <c r="J96" s="224"/>
      <c r="K96" s="224"/>
      <c r="L96" s="86"/>
      <c r="M96" s="39"/>
      <c r="N96" s="29"/>
    </row>
    <row r="97" spans="1:16" s="8" customFormat="1" x14ac:dyDescent="0.2">
      <c r="A97" s="28">
        <f>IF(F97&lt;&gt;"",1+MAX($A$6:A96),"")</f>
        <v>61</v>
      </c>
      <c r="B97" s="35" t="s">
        <v>56</v>
      </c>
      <c r="C97" s="36" t="s">
        <v>68</v>
      </c>
      <c r="D97" s="6"/>
      <c r="E97" s="37" t="s">
        <v>113</v>
      </c>
      <c r="F97" s="38">
        <f>183*0.67*0.33/27</f>
        <v>1.498566666666667</v>
      </c>
      <c r="G97" s="51">
        <v>7.0000000000000007E-2</v>
      </c>
      <c r="H97" s="16">
        <f t="shared" si="3"/>
        <v>1.6034663333333339</v>
      </c>
      <c r="I97" s="17" t="s">
        <v>17</v>
      </c>
      <c r="J97" s="224">
        <f>J$10</f>
        <v>0</v>
      </c>
      <c r="K97" s="224">
        <f>K$10</f>
        <v>0</v>
      </c>
      <c r="L97" s="86">
        <f t="shared" si="4"/>
        <v>0</v>
      </c>
      <c r="M97" s="39">
        <f t="shared" si="5"/>
        <v>0</v>
      </c>
      <c r="N97" s="29"/>
    </row>
    <row r="98" spans="1:16" s="8" customFormat="1" x14ac:dyDescent="0.2">
      <c r="A98" s="28">
        <f>IF(F98&lt;&gt;"",1+MAX($A$6:A97),"")</f>
        <v>62</v>
      </c>
      <c r="B98" s="35" t="s">
        <v>56</v>
      </c>
      <c r="C98" s="36" t="s">
        <v>68</v>
      </c>
      <c r="D98" s="6"/>
      <c r="E98" s="37" t="s">
        <v>49</v>
      </c>
      <c r="F98" s="38">
        <v>34</v>
      </c>
      <c r="G98" s="51">
        <v>7.0000000000000007E-2</v>
      </c>
      <c r="H98" s="16">
        <f t="shared" si="3"/>
        <v>36.380000000000003</v>
      </c>
      <c r="I98" s="17" t="s">
        <v>53</v>
      </c>
      <c r="J98" s="224">
        <f>J$81</f>
        <v>0</v>
      </c>
      <c r="K98" s="224">
        <f>K$81</f>
        <v>0</v>
      </c>
      <c r="L98" s="86">
        <f t="shared" si="4"/>
        <v>0</v>
      </c>
      <c r="M98" s="39">
        <f t="shared" si="5"/>
        <v>0</v>
      </c>
      <c r="N98" s="29"/>
    </row>
    <row r="99" spans="1:16" s="8" customFormat="1" x14ac:dyDescent="0.2">
      <c r="A99" s="28">
        <f>IF(F99&lt;&gt;"",1+MAX($A$6:A98),"")</f>
        <v>63</v>
      </c>
      <c r="B99" s="35" t="s">
        <v>56</v>
      </c>
      <c r="C99" s="36" t="s">
        <v>68</v>
      </c>
      <c r="D99" s="6"/>
      <c r="E99" s="37" t="s">
        <v>69</v>
      </c>
      <c r="F99" s="38">
        <f>34*1.043*1.2</f>
        <v>42.554399999999994</v>
      </c>
      <c r="G99" s="51">
        <v>7.0000000000000007E-2</v>
      </c>
      <c r="H99" s="16">
        <f t="shared" si="3"/>
        <v>45.533207999999995</v>
      </c>
      <c r="I99" s="17" t="s">
        <v>18</v>
      </c>
      <c r="J99" s="224">
        <f>J$11</f>
        <v>0</v>
      </c>
      <c r="K99" s="224">
        <f>K$11</f>
        <v>0</v>
      </c>
      <c r="L99" s="86">
        <f t="shared" si="4"/>
        <v>0</v>
      </c>
      <c r="M99" s="39">
        <f t="shared" si="5"/>
        <v>0</v>
      </c>
      <c r="N99" s="29"/>
    </row>
    <row r="100" spans="1:16" s="8" customFormat="1" x14ac:dyDescent="0.2">
      <c r="A100" s="28">
        <f>IF(F100&lt;&gt;"",1+MAX($A$6:A99),"")</f>
        <v>64</v>
      </c>
      <c r="B100" s="35" t="s">
        <v>56</v>
      </c>
      <c r="C100" s="36" t="s">
        <v>57</v>
      </c>
      <c r="D100" s="6"/>
      <c r="E100" s="37" t="s">
        <v>70</v>
      </c>
      <c r="F100" s="38">
        <f>2*4*0.668*1.2*10</f>
        <v>64.128</v>
      </c>
      <c r="G100" s="51">
        <v>7.0000000000000007E-2</v>
      </c>
      <c r="H100" s="16">
        <f t="shared" si="3"/>
        <v>68.616960000000006</v>
      </c>
      <c r="I100" s="17" t="s">
        <v>18</v>
      </c>
      <c r="J100" s="224">
        <f>J$11</f>
        <v>0</v>
      </c>
      <c r="K100" s="224">
        <f>K$11</f>
        <v>0</v>
      </c>
      <c r="L100" s="86">
        <f t="shared" si="4"/>
        <v>0</v>
      </c>
      <c r="M100" s="39">
        <f t="shared" si="5"/>
        <v>0</v>
      </c>
      <c r="N100" s="29"/>
    </row>
    <row r="101" spans="1:16" s="8" customFormat="1" ht="16.5" thickBot="1" x14ac:dyDescent="0.25">
      <c r="A101" s="28" t="str">
        <f>IF(F101&lt;&gt;"",1+MAX($A$6:A100),"")</f>
        <v/>
      </c>
      <c r="B101" s="35"/>
      <c r="C101" s="36"/>
      <c r="D101" s="6"/>
      <c r="E101" s="141"/>
      <c r="F101" s="14"/>
      <c r="G101" s="51"/>
      <c r="H101" s="52"/>
      <c r="I101" s="53"/>
      <c r="J101" s="50"/>
      <c r="K101" s="50"/>
      <c r="L101" s="85"/>
      <c r="M101" s="39"/>
      <c r="N101" s="29"/>
    </row>
    <row r="102" spans="1:16" s="8" customFormat="1" ht="16.5" thickBot="1" x14ac:dyDescent="0.25">
      <c r="A102" s="28" t="str">
        <f>IF(F102&lt;&gt;"",1+MAX($A$6:A101),"")</f>
        <v/>
      </c>
      <c r="B102" s="35"/>
      <c r="C102" s="54"/>
      <c r="D102" s="31"/>
      <c r="E102" s="225" t="s">
        <v>71</v>
      </c>
      <c r="F102" s="226"/>
      <c r="G102" s="32"/>
      <c r="H102" s="33"/>
      <c r="I102" s="34"/>
      <c r="J102" s="103"/>
      <c r="K102" s="103"/>
      <c r="L102" s="104"/>
      <c r="M102" s="105"/>
      <c r="N102" s="29"/>
    </row>
    <row r="103" spans="1:16" s="8" customFormat="1" x14ac:dyDescent="0.2">
      <c r="A103" s="28">
        <f>IF(F103&lt;&gt;"",1+MAX($A$6:A102),"")</f>
        <v>65</v>
      </c>
      <c r="B103" s="35" t="s">
        <v>56</v>
      </c>
      <c r="C103" s="36" t="s">
        <v>73</v>
      </c>
      <c r="D103" s="6"/>
      <c r="E103" s="48" t="s">
        <v>113</v>
      </c>
      <c r="F103" s="38">
        <f>306*2*1.33/27</f>
        <v>30.146666666666668</v>
      </c>
      <c r="G103" s="49">
        <v>7.0000000000000007E-2</v>
      </c>
      <c r="H103" s="16">
        <f>F103*(1+G103)</f>
        <v>32.256933333333336</v>
      </c>
      <c r="I103" s="17" t="s">
        <v>17</v>
      </c>
      <c r="J103" s="224">
        <f>J$10</f>
        <v>0</v>
      </c>
      <c r="K103" s="224">
        <f>K$10</f>
        <v>0</v>
      </c>
      <c r="L103" s="86">
        <f>J103+K103</f>
        <v>0</v>
      </c>
      <c r="M103" s="39">
        <f>L103*H103</f>
        <v>0</v>
      </c>
      <c r="N103" s="29"/>
      <c r="O103" s="81"/>
      <c r="P103" s="81"/>
    </row>
    <row r="104" spans="1:16" s="8" customFormat="1" x14ac:dyDescent="0.2">
      <c r="A104" s="28">
        <f>IF(F104&lt;&gt;"",1+MAX($A$6:A103),"")</f>
        <v>66</v>
      </c>
      <c r="B104" s="35" t="s">
        <v>56</v>
      </c>
      <c r="C104" s="36" t="s">
        <v>73</v>
      </c>
      <c r="D104" s="6"/>
      <c r="E104" s="37" t="s">
        <v>133</v>
      </c>
      <c r="F104" s="38">
        <f>306*1.33</f>
        <v>406.98</v>
      </c>
      <c r="G104" s="49">
        <v>7.0000000000000007E-2</v>
      </c>
      <c r="H104" s="16">
        <f>F104*(1+G104)</f>
        <v>435.46860000000004</v>
      </c>
      <c r="I104" s="17" t="s">
        <v>19</v>
      </c>
      <c r="J104" s="224">
        <f>J$12</f>
        <v>0</v>
      </c>
      <c r="K104" s="224">
        <f>K$12</f>
        <v>0</v>
      </c>
      <c r="L104" s="86">
        <f>J104+K104</f>
        <v>0</v>
      </c>
      <c r="M104" s="39">
        <f>L104*H104</f>
        <v>0</v>
      </c>
      <c r="N104" s="29"/>
      <c r="O104" s="72"/>
    </row>
    <row r="105" spans="1:16" s="8" customFormat="1" x14ac:dyDescent="0.2">
      <c r="A105" s="28">
        <f>IF(F105&lt;&gt;"",1+MAX($A$6:A104),"")</f>
        <v>67</v>
      </c>
      <c r="B105" s="35" t="s">
        <v>56</v>
      </c>
      <c r="C105" s="36" t="s">
        <v>73</v>
      </c>
      <c r="D105" s="6"/>
      <c r="E105" s="37" t="s">
        <v>72</v>
      </c>
      <c r="F105" s="38">
        <f>2*306*1.043*1.2</f>
        <v>765.97919999999988</v>
      </c>
      <c r="G105" s="51">
        <v>7.0000000000000007E-2</v>
      </c>
      <c r="H105" s="16">
        <f>F105*(1+G105)</f>
        <v>819.59774399999992</v>
      </c>
      <c r="I105" s="17" t="s">
        <v>18</v>
      </c>
      <c r="J105" s="224">
        <f>J$11</f>
        <v>0</v>
      </c>
      <c r="K105" s="224">
        <f>K$11</f>
        <v>0</v>
      </c>
      <c r="L105" s="86">
        <f>J105+K105</f>
        <v>0</v>
      </c>
      <c r="M105" s="39">
        <f>L105*H105</f>
        <v>0</v>
      </c>
      <c r="N105" s="29"/>
      <c r="O105" s="72"/>
    </row>
    <row r="106" spans="1:16" s="8" customFormat="1" x14ac:dyDescent="0.2">
      <c r="A106" s="28">
        <f>IF(F106&lt;&gt;"",1+MAX($A$6:A105),"")</f>
        <v>68</v>
      </c>
      <c r="B106" s="35" t="s">
        <v>56</v>
      </c>
      <c r="C106" s="36" t="s">
        <v>73</v>
      </c>
      <c r="D106" s="6"/>
      <c r="E106" s="37" t="s">
        <v>35</v>
      </c>
      <c r="F106" s="38">
        <f>306*2.33*1.33/27</f>
        <v>35.120866666666672</v>
      </c>
      <c r="G106" s="51">
        <v>7.0000000000000007E-2</v>
      </c>
      <c r="H106" s="16">
        <f>F106*(1+G106)</f>
        <v>37.579327333333339</v>
      </c>
      <c r="I106" s="17" t="s">
        <v>17</v>
      </c>
      <c r="J106" s="224">
        <f>J$13</f>
        <v>0</v>
      </c>
      <c r="K106" s="224">
        <f>K$13</f>
        <v>0</v>
      </c>
      <c r="L106" s="86">
        <f>J106+K106</f>
        <v>0</v>
      </c>
      <c r="M106" s="39">
        <f>L106*H106</f>
        <v>0</v>
      </c>
      <c r="N106" s="29"/>
      <c r="O106" s="72"/>
    </row>
    <row r="107" spans="1:16" s="8" customFormat="1" x14ac:dyDescent="0.2">
      <c r="A107" s="28">
        <f>IF(F107&lt;&gt;"",1+MAX($A$6:A106),"")</f>
        <v>69</v>
      </c>
      <c r="B107" s="35" t="s">
        <v>56</v>
      </c>
      <c r="C107" s="36" t="s">
        <v>73</v>
      </c>
      <c r="D107" s="6"/>
      <c r="E107" s="37" t="s">
        <v>20</v>
      </c>
      <c r="F107" s="38">
        <f>F106-F103</f>
        <v>4.9742000000000033</v>
      </c>
      <c r="G107" s="51">
        <v>7.0000000000000007E-2</v>
      </c>
      <c r="H107" s="16">
        <f>F107*(1+G107)</f>
        <v>5.3223940000000036</v>
      </c>
      <c r="I107" s="17" t="s">
        <v>17</v>
      </c>
      <c r="J107" s="224">
        <f>J$14</f>
        <v>0</v>
      </c>
      <c r="K107" s="224">
        <f>K$14</f>
        <v>0</v>
      </c>
      <c r="L107" s="86">
        <f>J107+K107</f>
        <v>0</v>
      </c>
      <c r="M107" s="39">
        <f>L107*H107</f>
        <v>0</v>
      </c>
      <c r="N107" s="29"/>
    </row>
    <row r="108" spans="1:16" s="8" customFormat="1" ht="16.5" thickBot="1" x14ac:dyDescent="0.25">
      <c r="A108" s="28" t="str">
        <f>IF(F108&lt;&gt;"",1+MAX($A$6:A107),"")</f>
        <v/>
      </c>
      <c r="B108" s="35"/>
      <c r="C108" s="36"/>
      <c r="D108" s="7"/>
      <c r="F108" s="9"/>
      <c r="G108" s="10"/>
      <c r="H108" s="9"/>
      <c r="I108" s="11"/>
      <c r="J108" s="12"/>
      <c r="K108" s="12"/>
      <c r="L108" s="88"/>
      <c r="M108" s="55"/>
      <c r="N108" s="56"/>
    </row>
    <row r="109" spans="1:16" s="8" customFormat="1" ht="16.5" thickBot="1" x14ac:dyDescent="0.25">
      <c r="A109" s="28" t="str">
        <f>IF(F109&lt;&gt;"",1+MAX($A$6:A108),"")</f>
        <v/>
      </c>
      <c r="B109" s="6"/>
      <c r="C109" s="6"/>
      <c r="D109" s="13"/>
      <c r="E109" s="73" t="s">
        <v>22</v>
      </c>
      <c r="F109" s="14"/>
      <c r="G109" s="15"/>
      <c r="H109" s="16"/>
      <c r="I109" s="17"/>
      <c r="J109" s="18"/>
      <c r="K109" s="18"/>
      <c r="L109" s="89"/>
      <c r="M109" s="4"/>
      <c r="N109" s="5">
        <f>SUM(M7:M108)</f>
        <v>0</v>
      </c>
      <c r="O109" s="69"/>
    </row>
    <row r="110" spans="1:16" s="24" customFormat="1" ht="16.5" thickBot="1" x14ac:dyDescent="0.25">
      <c r="A110" s="91"/>
      <c r="B110" s="92"/>
      <c r="C110" s="93"/>
      <c r="D110" s="94"/>
      <c r="E110" s="82"/>
      <c r="F110" s="95"/>
      <c r="G110" s="96"/>
      <c r="H110" s="97"/>
      <c r="I110" s="98"/>
      <c r="J110" s="99"/>
      <c r="K110" s="99"/>
      <c r="L110" s="90"/>
      <c r="M110" s="100"/>
      <c r="N110" s="84"/>
    </row>
    <row r="111" spans="1:16" ht="16.5" thickBot="1" x14ac:dyDescent="0.25">
      <c r="A111" s="166" t="s">
        <v>11</v>
      </c>
      <c r="B111" s="167"/>
      <c r="C111" s="167"/>
      <c r="D111" s="167"/>
      <c r="E111" s="168" t="s">
        <v>23</v>
      </c>
      <c r="F111" s="169"/>
      <c r="G111" s="170"/>
      <c r="H111" s="170"/>
      <c r="I111" s="171"/>
      <c r="J111" s="156"/>
      <c r="K111" s="156"/>
      <c r="L111" s="156"/>
      <c r="M111" s="172">
        <f>(SUM(M7:M110))</f>
        <v>0</v>
      </c>
      <c r="N111" s="200">
        <f>SUM(N7:N110)</f>
        <v>0</v>
      </c>
      <c r="P111" s="71"/>
    </row>
    <row r="112" spans="1:16" ht="16.5" thickBot="1" x14ac:dyDescent="0.25">
      <c r="A112" s="173" t="s">
        <v>24</v>
      </c>
      <c r="B112" s="174"/>
      <c r="C112" s="174"/>
      <c r="D112" s="174"/>
      <c r="E112" s="175"/>
      <c r="F112" s="176"/>
      <c r="G112" s="177"/>
      <c r="H112" s="178"/>
      <c r="I112" s="174"/>
      <c r="J112" s="179"/>
      <c r="K112" s="179"/>
      <c r="L112" s="179"/>
      <c r="M112" s="201">
        <v>0.2</v>
      </c>
      <c r="N112" s="203">
        <f>N111*M112</f>
        <v>0</v>
      </c>
    </row>
    <row r="113" spans="1:16" ht="16.5" thickBot="1" x14ac:dyDescent="0.25">
      <c r="A113" s="158" t="s">
        <v>36</v>
      </c>
      <c r="B113" s="159"/>
      <c r="C113" s="159"/>
      <c r="D113" s="159"/>
      <c r="E113" s="160"/>
      <c r="F113" s="161"/>
      <c r="G113" s="162"/>
      <c r="H113" s="163"/>
      <c r="I113" s="159"/>
      <c r="J113" s="164"/>
      <c r="K113" s="164"/>
      <c r="L113" s="164"/>
      <c r="M113" s="202">
        <v>0.05</v>
      </c>
      <c r="N113" s="204">
        <f>N111*M113</f>
        <v>0</v>
      </c>
    </row>
    <row r="114" spans="1:16" ht="16.5" thickBot="1" x14ac:dyDescent="0.25">
      <c r="A114" s="166" t="s">
        <v>43</v>
      </c>
      <c r="B114" s="167"/>
      <c r="C114" s="167"/>
      <c r="D114" s="167"/>
      <c r="E114" s="168"/>
      <c r="F114" s="169"/>
      <c r="G114" s="170"/>
      <c r="H114" s="170"/>
      <c r="I114" s="171"/>
      <c r="J114" s="156"/>
      <c r="K114" s="156"/>
      <c r="L114" s="156"/>
      <c r="M114" s="172"/>
      <c r="N114" s="200">
        <f>SUM(N111:N113)</f>
        <v>0</v>
      </c>
      <c r="P114" s="71"/>
    </row>
  </sheetData>
  <pageMargins left="0.25" right="0.25" top="0.75" bottom="0.75" header="0.3" footer="0.3"/>
  <pageSetup paperSize="9" scale="72" fitToHeight="0" orientation="landscape" r:id="rId1"/>
  <headerFooter>
    <oddFooter>&amp;C&amp;P of &amp;N</oddFooter>
  </headerFooter>
  <ignoredErrors>
    <ignoredError sqref="F82:F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3"/>
  <sheetViews>
    <sheetView showGridLines="0" view="pageBreakPreview" zoomScale="90" zoomScaleNormal="90" zoomScaleSheetLayoutView="90" workbookViewId="0">
      <pane ySplit="6" topLeftCell="A7" activePane="bottomLeft" state="frozen"/>
      <selection pane="bottomLeft" activeCell="E86" sqref="E86"/>
    </sheetView>
  </sheetViews>
  <sheetFormatPr defaultColWidth="9.6640625" defaultRowHeight="15.75" x14ac:dyDescent="0.2"/>
  <cols>
    <col min="1" max="1" width="5.6640625" style="64" customWidth="1"/>
    <col min="2" max="2" width="10.33203125" style="58" customWidth="1"/>
    <col min="3" max="3" width="11.33203125" style="58" customWidth="1"/>
    <col min="4" max="4" width="7.5546875" style="58" customWidth="1"/>
    <col min="5" max="5" width="53.109375" style="59" customWidth="1"/>
    <col min="6" max="6" width="7.88671875" style="60" customWidth="1"/>
    <col min="7" max="7" width="6.6640625" style="61" customWidth="1"/>
    <col min="8" max="8" width="7.44140625" style="61" customWidth="1"/>
    <col min="9" max="9" width="7.109375" style="58" customWidth="1"/>
    <col min="10" max="10" width="9.33203125" style="62" customWidth="1"/>
    <col min="11" max="11" width="10.5546875" style="62" customWidth="1"/>
    <col min="12" max="12" width="9.33203125" style="62" customWidth="1"/>
    <col min="13" max="13" width="11.44140625" style="63" customWidth="1"/>
    <col min="14" max="14" width="10.6640625" style="24" customWidth="1"/>
    <col min="15" max="15" width="11.44140625" style="57" bestFit="1" customWidth="1"/>
    <col min="16" max="16" width="10.77734375" style="57" bestFit="1" customWidth="1"/>
    <col min="17" max="16384" width="9.6640625" style="57"/>
  </cols>
  <sheetData>
    <row r="1" spans="1:16" s="19" customFormat="1" ht="16.5" thickBot="1" x14ac:dyDescent="0.25">
      <c r="A1" s="145" t="s">
        <v>5</v>
      </c>
      <c r="B1" s="146"/>
      <c r="C1" s="147" t="s">
        <v>163</v>
      </c>
      <c r="D1" s="147"/>
      <c r="E1" s="148"/>
      <c r="F1" s="149"/>
      <c r="G1" s="149"/>
      <c r="H1" s="149"/>
      <c r="I1" s="149"/>
      <c r="J1" s="150"/>
      <c r="K1" s="150"/>
      <c r="L1" s="150"/>
      <c r="M1" s="149"/>
      <c r="N1" s="151"/>
      <c r="O1" s="8"/>
      <c r="P1" s="8"/>
    </row>
    <row r="2" spans="1:16" s="8" customFormat="1" x14ac:dyDescent="0.2">
      <c r="A2" s="230" t="s">
        <v>6</v>
      </c>
      <c r="B2" s="231"/>
      <c r="C2" s="232" t="s">
        <v>163</v>
      </c>
      <c r="D2" s="232"/>
      <c r="E2" s="20"/>
      <c r="F2" s="21"/>
      <c r="G2" s="20"/>
      <c r="H2" s="20"/>
      <c r="I2" s="20"/>
      <c r="J2" s="20"/>
      <c r="K2" s="20"/>
      <c r="L2" s="21"/>
      <c r="M2" s="22"/>
      <c r="N2" s="229"/>
      <c r="O2" s="24"/>
    </row>
    <row r="3" spans="1:16" s="8" customFormat="1" x14ac:dyDescent="0.2">
      <c r="A3" s="2" t="s">
        <v>7</v>
      </c>
      <c r="B3" s="1"/>
      <c r="C3" s="3">
        <v>45126</v>
      </c>
      <c r="D3" s="3"/>
      <c r="E3" s="23"/>
      <c r="F3" s="24"/>
      <c r="G3" s="23"/>
      <c r="H3" s="23"/>
      <c r="I3" s="24"/>
      <c r="J3" s="24"/>
      <c r="K3" s="24"/>
      <c r="L3" s="24"/>
      <c r="M3" s="25"/>
      <c r="N3" s="75"/>
      <c r="O3" s="24"/>
    </row>
    <row r="4" spans="1:16" s="8" customFormat="1" x14ac:dyDescent="0.2">
      <c r="A4" s="2" t="s">
        <v>8</v>
      </c>
      <c r="B4" s="1"/>
      <c r="C4" s="3">
        <v>45090</v>
      </c>
      <c r="D4" s="3"/>
      <c r="E4" s="23"/>
      <c r="F4" s="77"/>
      <c r="G4" s="23"/>
      <c r="H4" s="23"/>
      <c r="I4" s="24"/>
      <c r="J4" s="24"/>
      <c r="K4" s="24"/>
      <c r="L4" s="25"/>
      <c r="M4" s="74"/>
      <c r="N4" s="76"/>
      <c r="O4" s="24"/>
    </row>
    <row r="5" spans="1:16" s="8" customFormat="1" ht="16.5" thickBot="1" x14ac:dyDescent="0.25">
      <c r="A5" s="233" t="s">
        <v>38</v>
      </c>
      <c r="B5" s="234"/>
      <c r="C5" s="235">
        <f>N$150</f>
        <v>0</v>
      </c>
      <c r="D5" s="235"/>
      <c r="E5" s="26"/>
      <c r="F5" s="236"/>
      <c r="G5" s="237"/>
      <c r="H5" s="237"/>
      <c r="I5" s="236"/>
      <c r="J5" s="236"/>
      <c r="K5" s="236"/>
      <c r="L5" s="238"/>
      <c r="M5" s="239"/>
      <c r="N5" s="240"/>
      <c r="O5" s="24"/>
    </row>
    <row r="6" spans="1:16" s="27" customFormat="1" ht="37.5" customHeight="1" thickBot="1" x14ac:dyDescent="0.25">
      <c r="A6" s="152" t="s">
        <v>9</v>
      </c>
      <c r="B6" s="153" t="s">
        <v>12</v>
      </c>
      <c r="C6" s="153" t="s">
        <v>13</v>
      </c>
      <c r="D6" s="153" t="s">
        <v>14</v>
      </c>
      <c r="E6" s="153" t="s">
        <v>1</v>
      </c>
      <c r="F6" s="153" t="s">
        <v>21</v>
      </c>
      <c r="G6" s="153" t="s">
        <v>2</v>
      </c>
      <c r="H6" s="153" t="s">
        <v>3</v>
      </c>
      <c r="I6" s="153" t="s">
        <v>0</v>
      </c>
      <c r="J6" s="153" t="s">
        <v>26</v>
      </c>
      <c r="K6" s="153" t="s">
        <v>27</v>
      </c>
      <c r="L6" s="153" t="s">
        <v>25</v>
      </c>
      <c r="M6" s="154" t="s">
        <v>4</v>
      </c>
      <c r="N6" s="155" t="s">
        <v>10</v>
      </c>
      <c r="P6" s="23"/>
    </row>
    <row r="7" spans="1:16" s="30" customFormat="1" ht="16.5" thickBot="1" x14ac:dyDescent="0.25">
      <c r="A7" s="28" t="str">
        <f>IF(F7&lt;&gt;"",1+MAX('SITE CONCRETE'!$A$6:A6),"")</f>
        <v/>
      </c>
      <c r="B7" s="67"/>
      <c r="C7" s="68"/>
      <c r="D7" s="65" t="s">
        <v>103</v>
      </c>
      <c r="E7" s="40" t="s">
        <v>102</v>
      </c>
      <c r="F7" s="41"/>
      <c r="G7" s="42"/>
      <c r="H7" s="42"/>
      <c r="I7" s="42"/>
      <c r="J7" s="43"/>
      <c r="K7" s="43"/>
      <c r="L7" s="87"/>
      <c r="M7" s="106"/>
      <c r="N7" s="29"/>
    </row>
    <row r="8" spans="1:16" s="8" customFormat="1" ht="16.5" thickBot="1" x14ac:dyDescent="0.25">
      <c r="A8" s="28" t="str">
        <f>IF(F8&lt;&gt;"",1+MAX('SITE CONCRETE'!$A$6:A7),"")</f>
        <v/>
      </c>
      <c r="B8" s="35"/>
      <c r="C8" s="54"/>
      <c r="D8" s="31"/>
      <c r="E8" s="225" t="s">
        <v>46</v>
      </c>
      <c r="F8" s="226"/>
      <c r="G8" s="32"/>
      <c r="H8" s="33"/>
      <c r="I8" s="34"/>
      <c r="J8" s="103"/>
      <c r="K8" s="103"/>
      <c r="L8" s="104"/>
      <c r="M8" s="105"/>
      <c r="N8" s="29"/>
    </row>
    <row r="9" spans="1:16" s="8" customFormat="1" ht="48" thickBot="1" x14ac:dyDescent="0.25">
      <c r="A9" s="28" t="str">
        <f>IF(F9&lt;&gt;"",1+MAX('SITE CONCRETE'!$A$6:A8),"")</f>
        <v/>
      </c>
      <c r="B9" s="35"/>
      <c r="C9" s="36"/>
      <c r="D9" s="36"/>
      <c r="E9" s="44" t="s">
        <v>134</v>
      </c>
      <c r="F9" s="140"/>
      <c r="G9" s="45"/>
      <c r="H9" s="16"/>
      <c r="I9" s="17"/>
      <c r="J9" s="46"/>
      <c r="K9" s="46"/>
      <c r="L9" s="83"/>
      <c r="M9" s="47"/>
      <c r="N9" s="29"/>
    </row>
    <row r="10" spans="1:16" s="8" customFormat="1" x14ac:dyDescent="0.2">
      <c r="A10" s="28">
        <f>IF(F10&lt;&gt;"",1+MAX('SITE CONCRETE'!$A$6:A9),"")</f>
        <v>1</v>
      </c>
      <c r="B10" s="35" t="s">
        <v>44</v>
      </c>
      <c r="C10" s="36" t="s">
        <v>45</v>
      </c>
      <c r="D10" s="6"/>
      <c r="E10" s="48" t="s">
        <v>113</v>
      </c>
      <c r="F10" s="38">
        <f>3.14*2*2*0.25*4*4/27</f>
        <v>1.8607407407407408</v>
      </c>
      <c r="G10" s="49">
        <v>7.0000000000000007E-2</v>
      </c>
      <c r="H10" s="16">
        <f>F10*(1+G10)</f>
        <v>1.9909925925925929</v>
      </c>
      <c r="I10" s="17" t="s">
        <v>17</v>
      </c>
      <c r="J10" s="66">
        <v>0</v>
      </c>
      <c r="K10" s="66">
        <v>0</v>
      </c>
      <c r="L10" s="86">
        <f>J10+K10</f>
        <v>0</v>
      </c>
      <c r="M10" s="39">
        <f>L10*H10</f>
        <v>0</v>
      </c>
      <c r="N10" s="29"/>
      <c r="O10" s="81"/>
      <c r="P10" s="81"/>
    </row>
    <row r="11" spans="1:16" s="8" customFormat="1" x14ac:dyDescent="0.2">
      <c r="A11" s="28">
        <f>IF(F11&lt;&gt;"",1+MAX('SITE CONCRETE'!$A$6:A10),"")</f>
        <v>2</v>
      </c>
      <c r="B11" s="35" t="s">
        <v>44</v>
      </c>
      <c r="C11" s="36" t="s">
        <v>45</v>
      </c>
      <c r="D11" s="6"/>
      <c r="E11" s="37" t="s">
        <v>143</v>
      </c>
      <c r="F11" s="38">
        <f>3.14*2*4*4</f>
        <v>100.48</v>
      </c>
      <c r="G11" s="51">
        <v>7.0000000000000007E-2</v>
      </c>
      <c r="H11" s="16">
        <f>F11*(1+G11)</f>
        <v>107.51360000000001</v>
      </c>
      <c r="I11" s="17" t="s">
        <v>19</v>
      </c>
      <c r="J11" s="66">
        <v>0</v>
      </c>
      <c r="K11" s="66">
        <v>0</v>
      </c>
      <c r="L11" s="86">
        <f>J11+K11</f>
        <v>0</v>
      </c>
      <c r="M11" s="39">
        <f>L11*H11</f>
        <v>0</v>
      </c>
      <c r="N11" s="29"/>
      <c r="O11" s="72"/>
    </row>
    <row r="12" spans="1:16" s="8" customFormat="1" x14ac:dyDescent="0.2">
      <c r="A12" s="28">
        <f>IF(F12&lt;&gt;"",1+MAX('SITE CONCRETE'!$A$6:A11),"")</f>
        <v>3</v>
      </c>
      <c r="B12" s="35" t="s">
        <v>44</v>
      </c>
      <c r="C12" s="36" t="s">
        <v>45</v>
      </c>
      <c r="D12" s="6"/>
      <c r="E12" s="37" t="s">
        <v>153</v>
      </c>
      <c r="F12" s="38">
        <f>3.14*3*3*0.25*4*4/27</f>
        <v>4.1866666666666665</v>
      </c>
      <c r="G12" s="51">
        <v>7.0000000000000007E-2</v>
      </c>
      <c r="H12" s="16">
        <f>F12*(1+G12)</f>
        <v>4.4797333333333338</v>
      </c>
      <c r="I12" s="17" t="s">
        <v>17</v>
      </c>
      <c r="J12" s="66">
        <v>0</v>
      </c>
      <c r="K12" s="66">
        <v>0</v>
      </c>
      <c r="L12" s="86">
        <f>J12+K12</f>
        <v>0</v>
      </c>
      <c r="M12" s="39">
        <f>L12*H12</f>
        <v>0</v>
      </c>
      <c r="N12" s="29"/>
      <c r="O12" s="72"/>
    </row>
    <row r="13" spans="1:16" s="8" customFormat="1" x14ac:dyDescent="0.2">
      <c r="A13" s="28">
        <f>IF(F13&lt;&gt;"",1+MAX('SITE CONCRETE'!$A$6:A12),"")</f>
        <v>4</v>
      </c>
      <c r="B13" s="35" t="s">
        <v>44</v>
      </c>
      <c r="C13" s="36" t="s">
        <v>45</v>
      </c>
      <c r="D13" s="6"/>
      <c r="E13" s="37" t="s">
        <v>20</v>
      </c>
      <c r="F13" s="38">
        <f>F12-F10</f>
        <v>2.325925925925926</v>
      </c>
      <c r="G13" s="51">
        <v>7.0000000000000007E-2</v>
      </c>
      <c r="H13" s="16">
        <f>F13*(1+G13)</f>
        <v>2.4887407407407407</v>
      </c>
      <c r="I13" s="17" t="s">
        <v>17</v>
      </c>
      <c r="J13" s="66">
        <v>0</v>
      </c>
      <c r="K13" s="66">
        <v>0</v>
      </c>
      <c r="L13" s="86">
        <f>J13+K13</f>
        <v>0</v>
      </c>
      <c r="M13" s="39">
        <f>L13*H13</f>
        <v>0</v>
      </c>
      <c r="N13" s="29"/>
    </row>
    <row r="14" spans="1:16" s="8" customFormat="1" ht="16.5" thickBot="1" x14ac:dyDescent="0.25">
      <c r="A14" s="28" t="str">
        <f>IF(F14&lt;&gt;"",1+MAX('SITE CONCRETE'!$A$6:A13),"")</f>
        <v/>
      </c>
      <c r="B14" s="35"/>
      <c r="C14" s="36"/>
      <c r="D14" s="6"/>
      <c r="E14" s="141"/>
      <c r="F14" s="14"/>
      <c r="G14" s="51"/>
      <c r="H14" s="52"/>
      <c r="I14" s="53"/>
      <c r="J14" s="50"/>
      <c r="K14" s="50"/>
      <c r="L14" s="85"/>
      <c r="M14" s="39"/>
      <c r="N14" s="29"/>
    </row>
    <row r="15" spans="1:16" s="8" customFormat="1" ht="16.5" thickBot="1" x14ac:dyDescent="0.25">
      <c r="A15" s="28" t="str">
        <f>IF(F15&lt;&gt;"",1+MAX('SITE CONCRETE'!$A$6:A14),"")</f>
        <v/>
      </c>
      <c r="B15" s="35"/>
      <c r="C15" s="54"/>
      <c r="D15" s="31"/>
      <c r="E15" s="225" t="s">
        <v>104</v>
      </c>
      <c r="F15" s="226"/>
      <c r="G15" s="32"/>
      <c r="H15" s="33"/>
      <c r="I15" s="34"/>
      <c r="J15" s="103"/>
      <c r="K15" s="103"/>
      <c r="L15" s="104"/>
      <c r="M15" s="105"/>
      <c r="N15" s="29"/>
    </row>
    <row r="16" spans="1:16" s="8" customFormat="1" ht="48" thickBot="1" x14ac:dyDescent="0.25">
      <c r="A16" s="28" t="str">
        <f>IF(F16&lt;&gt;"",1+MAX('SITE CONCRETE'!$A$6:A15),"")</f>
        <v/>
      </c>
      <c r="B16" s="35"/>
      <c r="C16" s="36"/>
      <c r="D16" s="36"/>
      <c r="E16" s="44" t="s">
        <v>135</v>
      </c>
      <c r="F16" s="140"/>
      <c r="G16" s="45"/>
      <c r="H16" s="16"/>
      <c r="I16" s="17"/>
      <c r="J16" s="46"/>
      <c r="K16" s="46"/>
      <c r="L16" s="83"/>
      <c r="M16" s="47"/>
      <c r="N16" s="29"/>
    </row>
    <row r="17" spans="1:16" s="8" customFormat="1" x14ac:dyDescent="0.2">
      <c r="A17" s="28">
        <f>IF(F17&lt;&gt;"",1+MAX('SITE CONCRETE'!$A$6:A16),"")</f>
        <v>5</v>
      </c>
      <c r="B17" s="35" t="s">
        <v>50</v>
      </c>
      <c r="C17" s="248" t="s">
        <v>80</v>
      </c>
      <c r="D17" s="6"/>
      <c r="E17" s="48" t="s">
        <v>113</v>
      </c>
      <c r="F17" s="38">
        <f>3.14*2*2*0.25*4*13/27</f>
        <v>6.0474074074074071</v>
      </c>
      <c r="G17" s="49">
        <v>7.0000000000000007E-2</v>
      </c>
      <c r="H17" s="16">
        <f>F17*(1+G17)</f>
        <v>6.470725925925926</v>
      </c>
      <c r="I17" s="17" t="s">
        <v>17</v>
      </c>
      <c r="J17" s="224">
        <f t="shared" ref="J17:K17" si="0">J$10</f>
        <v>0</v>
      </c>
      <c r="K17" s="224">
        <f t="shared" si="0"/>
        <v>0</v>
      </c>
      <c r="L17" s="86">
        <f>J17+K17</f>
        <v>0</v>
      </c>
      <c r="M17" s="39">
        <f>L17*H17</f>
        <v>0</v>
      </c>
      <c r="N17" s="29"/>
      <c r="O17" s="81"/>
      <c r="P17" s="81"/>
    </row>
    <row r="18" spans="1:16" s="8" customFormat="1" x14ac:dyDescent="0.2">
      <c r="A18" s="28">
        <f>IF(F18&lt;&gt;"",1+MAX('SITE CONCRETE'!$A$6:A17),"")</f>
        <v>6</v>
      </c>
      <c r="B18" s="35" t="s">
        <v>50</v>
      </c>
      <c r="C18" s="248" t="s">
        <v>80</v>
      </c>
      <c r="D18" s="6"/>
      <c r="E18" s="37" t="s">
        <v>143</v>
      </c>
      <c r="F18" s="38">
        <f>3.14*2*4*13</f>
        <v>326.56</v>
      </c>
      <c r="G18" s="51">
        <v>7.0000000000000007E-2</v>
      </c>
      <c r="H18" s="16">
        <f>F18*(1+G18)</f>
        <v>349.41920000000005</v>
      </c>
      <c r="I18" s="17" t="s">
        <v>19</v>
      </c>
      <c r="J18" s="224">
        <f>J$11</f>
        <v>0</v>
      </c>
      <c r="K18" s="224">
        <f>K$11</f>
        <v>0</v>
      </c>
      <c r="L18" s="86">
        <f>J18+K18</f>
        <v>0</v>
      </c>
      <c r="M18" s="39">
        <f>L18*H18</f>
        <v>0</v>
      </c>
      <c r="N18" s="29"/>
      <c r="O18" s="72"/>
    </row>
    <row r="19" spans="1:16" s="8" customFormat="1" x14ac:dyDescent="0.2">
      <c r="A19" s="28">
        <f>IF(F19&lt;&gt;"",1+MAX('SITE CONCRETE'!$A$6:A18),"")</f>
        <v>7</v>
      </c>
      <c r="B19" s="35" t="s">
        <v>50</v>
      </c>
      <c r="C19" s="248" t="s">
        <v>80</v>
      </c>
      <c r="D19" s="6"/>
      <c r="E19" s="37" t="s">
        <v>153</v>
      </c>
      <c r="F19" s="38">
        <f>3.14*3*3*0.25*4*13/27</f>
        <v>13.606666666666667</v>
      </c>
      <c r="G19" s="51">
        <v>7.0000000000000007E-2</v>
      </c>
      <c r="H19" s="16">
        <f>F19*(1+G19)</f>
        <v>14.559133333333335</v>
      </c>
      <c r="I19" s="17" t="s">
        <v>17</v>
      </c>
      <c r="J19" s="224">
        <f>J$12</f>
        <v>0</v>
      </c>
      <c r="K19" s="224">
        <f>K$12</f>
        <v>0</v>
      </c>
      <c r="L19" s="86">
        <f>J19+K19</f>
        <v>0</v>
      </c>
      <c r="M19" s="39">
        <f>L19*H19</f>
        <v>0</v>
      </c>
      <c r="N19" s="29"/>
      <c r="O19" s="72"/>
    </row>
    <row r="20" spans="1:16" s="8" customFormat="1" x14ac:dyDescent="0.2">
      <c r="A20" s="28">
        <f>IF(F20&lt;&gt;"",1+MAX('SITE CONCRETE'!$A$6:A19),"")</f>
        <v>8</v>
      </c>
      <c r="B20" s="35" t="s">
        <v>50</v>
      </c>
      <c r="C20" s="248" t="s">
        <v>80</v>
      </c>
      <c r="D20" s="6"/>
      <c r="E20" s="37" t="s">
        <v>20</v>
      </c>
      <c r="F20" s="38">
        <f>F19-F17</f>
        <v>7.5592592592592602</v>
      </c>
      <c r="G20" s="51">
        <v>7.0000000000000007E-2</v>
      </c>
      <c r="H20" s="16">
        <f>F20*(1+G20)</f>
        <v>8.0884074074074093</v>
      </c>
      <c r="I20" s="17" t="s">
        <v>17</v>
      </c>
      <c r="J20" s="224">
        <f t="shared" ref="J20:K20" si="1">J$13</f>
        <v>0</v>
      </c>
      <c r="K20" s="224">
        <f t="shared" si="1"/>
        <v>0</v>
      </c>
      <c r="L20" s="86">
        <f>J20+K20</f>
        <v>0</v>
      </c>
      <c r="M20" s="39">
        <f>L20*H20</f>
        <v>0</v>
      </c>
      <c r="N20" s="29"/>
    </row>
    <row r="21" spans="1:16" s="8" customFormat="1" ht="16.5" thickBot="1" x14ac:dyDescent="0.25">
      <c r="A21" s="28" t="str">
        <f>IF(F21&lt;&gt;"",1+MAX('SITE CONCRETE'!$A$6:A20),"")</f>
        <v/>
      </c>
      <c r="B21" s="35"/>
      <c r="C21" s="36"/>
      <c r="D21" s="6"/>
      <c r="E21" s="141"/>
      <c r="F21" s="14"/>
      <c r="G21" s="51"/>
      <c r="H21" s="52"/>
      <c r="I21" s="53"/>
      <c r="J21" s="50"/>
      <c r="K21" s="50"/>
      <c r="L21" s="85"/>
      <c r="M21" s="39"/>
      <c r="N21" s="29"/>
    </row>
    <row r="22" spans="1:16" s="8" customFormat="1" ht="16.5" thickBot="1" x14ac:dyDescent="0.25">
      <c r="A22" s="28" t="str">
        <f>IF(F22&lt;&gt;"",1+MAX('SITE CONCRETE'!$A$6:A21),"")</f>
        <v/>
      </c>
      <c r="B22" s="35"/>
      <c r="C22" s="54"/>
      <c r="D22" s="31"/>
      <c r="E22" s="225" t="s">
        <v>97</v>
      </c>
      <c r="F22" s="226"/>
      <c r="G22" s="32"/>
      <c r="H22" s="33"/>
      <c r="I22" s="34"/>
      <c r="J22" s="103"/>
      <c r="K22" s="103"/>
      <c r="L22" s="104"/>
      <c r="M22" s="105"/>
      <c r="N22" s="29"/>
    </row>
    <row r="23" spans="1:16" s="8" customFormat="1" ht="48" thickBot="1" x14ac:dyDescent="0.25">
      <c r="A23" s="28" t="str">
        <f>IF(F23&lt;&gt;"",1+MAX('SITE CONCRETE'!$A$6:A22),"")</f>
        <v/>
      </c>
      <c r="B23" s="35"/>
      <c r="C23" s="36"/>
      <c r="D23" s="36"/>
      <c r="E23" s="44" t="s">
        <v>136</v>
      </c>
      <c r="F23" s="140"/>
      <c r="G23" s="45"/>
      <c r="H23" s="16"/>
      <c r="I23" s="17"/>
      <c r="J23" s="46"/>
      <c r="K23" s="46"/>
      <c r="L23" s="83"/>
      <c r="M23" s="47"/>
      <c r="N23" s="29"/>
    </row>
    <row r="24" spans="1:16" s="8" customFormat="1" x14ac:dyDescent="0.2">
      <c r="A24" s="28">
        <f>IF(F24&lt;&gt;"",1+MAX('SITE CONCRETE'!$A$6:A23),"")</f>
        <v>9</v>
      </c>
      <c r="B24" s="35" t="s">
        <v>50</v>
      </c>
      <c r="C24" s="248" t="s">
        <v>80</v>
      </c>
      <c r="D24" s="6"/>
      <c r="E24" s="48" t="s">
        <v>113</v>
      </c>
      <c r="F24" s="221">
        <f>3.14*2*2*0.25*4*1/27</f>
        <v>0.4651851851851852</v>
      </c>
      <c r="G24" s="49">
        <v>7.0000000000000007E-2</v>
      </c>
      <c r="H24" s="222">
        <f>F24*(1+G24)</f>
        <v>0.49774814814814822</v>
      </c>
      <c r="I24" s="17" t="s">
        <v>17</v>
      </c>
      <c r="J24" s="224">
        <f t="shared" ref="J24:K24" si="2">J$10</f>
        <v>0</v>
      </c>
      <c r="K24" s="224">
        <f t="shared" si="2"/>
        <v>0</v>
      </c>
      <c r="L24" s="86">
        <f>J24+K24</f>
        <v>0</v>
      </c>
      <c r="M24" s="39">
        <f>L24*H24</f>
        <v>0</v>
      </c>
      <c r="N24" s="29"/>
      <c r="O24" s="81"/>
      <c r="P24" s="81"/>
    </row>
    <row r="25" spans="1:16" s="8" customFormat="1" x14ac:dyDescent="0.2">
      <c r="A25" s="28">
        <f>IF(F25&lt;&gt;"",1+MAX('SITE CONCRETE'!$A$6:A24),"")</f>
        <v>10</v>
      </c>
      <c r="B25" s="35" t="s">
        <v>50</v>
      </c>
      <c r="C25" s="248" t="s">
        <v>80</v>
      </c>
      <c r="D25" s="6"/>
      <c r="E25" s="37" t="s">
        <v>143</v>
      </c>
      <c r="F25" s="38">
        <f>3.14*2*4*1</f>
        <v>25.12</v>
      </c>
      <c r="G25" s="51">
        <v>7.0000000000000007E-2</v>
      </c>
      <c r="H25" s="16">
        <f>F25*(1+G25)</f>
        <v>26.878400000000003</v>
      </c>
      <c r="I25" s="17" t="s">
        <v>19</v>
      </c>
      <c r="J25" s="224">
        <f>J$11</f>
        <v>0</v>
      </c>
      <c r="K25" s="224">
        <f>K$11</f>
        <v>0</v>
      </c>
      <c r="L25" s="86">
        <f>J25+K25</f>
        <v>0</v>
      </c>
      <c r="M25" s="39">
        <f>L25*H25</f>
        <v>0</v>
      </c>
      <c r="N25" s="29"/>
      <c r="O25" s="72"/>
    </row>
    <row r="26" spans="1:16" s="8" customFormat="1" x14ac:dyDescent="0.2">
      <c r="A26" s="28">
        <f>IF(F26&lt;&gt;"",1+MAX('SITE CONCRETE'!$A$6:A25),"")</f>
        <v>11</v>
      </c>
      <c r="B26" s="35" t="s">
        <v>50</v>
      </c>
      <c r="C26" s="248" t="s">
        <v>80</v>
      </c>
      <c r="D26" s="6"/>
      <c r="E26" s="37" t="s">
        <v>153</v>
      </c>
      <c r="F26" s="38">
        <f>3.14*3*3*0.25*4*1/27</f>
        <v>1.0466666666666666</v>
      </c>
      <c r="G26" s="51">
        <v>7.0000000000000007E-2</v>
      </c>
      <c r="H26" s="16">
        <f>F26*(1+G26)</f>
        <v>1.1199333333333334</v>
      </c>
      <c r="I26" s="17" t="s">
        <v>17</v>
      </c>
      <c r="J26" s="224">
        <f>J$12</f>
        <v>0</v>
      </c>
      <c r="K26" s="224">
        <f>K$12</f>
        <v>0</v>
      </c>
      <c r="L26" s="86">
        <f>J26+K26</f>
        <v>0</v>
      </c>
      <c r="M26" s="39">
        <f>L26*H26</f>
        <v>0</v>
      </c>
      <c r="N26" s="29"/>
      <c r="O26" s="72"/>
    </row>
    <row r="27" spans="1:16" s="8" customFormat="1" x14ac:dyDescent="0.2">
      <c r="A27" s="28">
        <f>IF(F27&lt;&gt;"",1+MAX('SITE CONCRETE'!$A$6:A26),"")</f>
        <v>12</v>
      </c>
      <c r="B27" s="35" t="s">
        <v>50</v>
      </c>
      <c r="C27" s="248" t="s">
        <v>80</v>
      </c>
      <c r="D27" s="6"/>
      <c r="E27" s="37" t="s">
        <v>20</v>
      </c>
      <c r="F27" s="38">
        <f>F26-F24</f>
        <v>0.58148148148148149</v>
      </c>
      <c r="G27" s="51">
        <v>7.0000000000000007E-2</v>
      </c>
      <c r="H27" s="16">
        <f>F27*(1+G27)</f>
        <v>0.62218518518518517</v>
      </c>
      <c r="I27" s="17" t="s">
        <v>17</v>
      </c>
      <c r="J27" s="224">
        <f t="shared" ref="J27:K27" si="3">J$13</f>
        <v>0</v>
      </c>
      <c r="K27" s="224">
        <f t="shared" si="3"/>
        <v>0</v>
      </c>
      <c r="L27" s="86">
        <f>J27+K27</f>
        <v>0</v>
      </c>
      <c r="M27" s="39">
        <f>L27*H27</f>
        <v>0</v>
      </c>
      <c r="N27" s="29"/>
    </row>
    <row r="28" spans="1:16" s="8" customFormat="1" ht="16.5" thickBot="1" x14ac:dyDescent="0.25">
      <c r="A28" s="28" t="str">
        <f>IF(F28&lt;&gt;"",1+MAX('SITE CONCRETE'!$A$6:A27),"")</f>
        <v/>
      </c>
      <c r="B28" s="35"/>
      <c r="C28" s="36"/>
      <c r="D28" s="6"/>
      <c r="E28" s="141"/>
      <c r="F28" s="14"/>
      <c r="G28" s="51"/>
      <c r="H28" s="52"/>
      <c r="I28" s="53"/>
      <c r="J28" s="50"/>
      <c r="K28" s="50"/>
      <c r="L28" s="85"/>
      <c r="M28" s="39"/>
      <c r="N28" s="29"/>
    </row>
    <row r="29" spans="1:16" s="8" customFormat="1" ht="16.5" thickBot="1" x14ac:dyDescent="0.25">
      <c r="A29" s="28" t="str">
        <f>IF(F29&lt;&gt;"",1+MAX('SITE CONCRETE'!$A$6:A28),"")</f>
        <v/>
      </c>
      <c r="B29" s="35"/>
      <c r="C29" s="54"/>
      <c r="D29" s="31"/>
      <c r="E29" s="225" t="s">
        <v>48</v>
      </c>
      <c r="F29" s="226"/>
      <c r="G29" s="32"/>
      <c r="H29" s="33"/>
      <c r="I29" s="34"/>
      <c r="J29" s="103"/>
      <c r="K29" s="103"/>
      <c r="L29" s="104"/>
      <c r="M29" s="105"/>
      <c r="N29" s="29"/>
    </row>
    <row r="30" spans="1:16" s="8" customFormat="1" ht="31.5" x14ac:dyDescent="0.2">
      <c r="A30" s="28">
        <f>IF(F30&lt;&gt;"",1+MAX('SITE CONCRETE'!$A$6:A29),"")</f>
        <v>13</v>
      </c>
      <c r="B30" s="35" t="s">
        <v>50</v>
      </c>
      <c r="C30" s="36" t="s">
        <v>51</v>
      </c>
      <c r="D30" s="249">
        <f>H30*0.334/27</f>
        <v>111.50256</v>
      </c>
      <c r="E30" s="48" t="s">
        <v>144</v>
      </c>
      <c r="F30" s="38">
        <f>1661+300+6463</f>
        <v>8424</v>
      </c>
      <c r="G30" s="49">
        <v>7.0000000000000007E-2</v>
      </c>
      <c r="H30" s="16">
        <f>F30*(1+G30)</f>
        <v>9013.68</v>
      </c>
      <c r="I30" s="17" t="s">
        <v>52</v>
      </c>
      <c r="J30" s="228">
        <v>0</v>
      </c>
      <c r="K30" s="228">
        <v>0</v>
      </c>
      <c r="L30" s="86">
        <f>J30+K30</f>
        <v>0</v>
      </c>
      <c r="M30" s="39">
        <f>L30*H30</f>
        <v>0</v>
      </c>
      <c r="N30" s="29"/>
      <c r="O30" s="81"/>
      <c r="P30" s="81"/>
    </row>
    <row r="31" spans="1:16" s="8" customFormat="1" x14ac:dyDescent="0.2">
      <c r="A31" s="28">
        <f>IF(F31&lt;&gt;"",1+MAX('SITE CONCRETE'!$A$6:A30),"")</f>
        <v>14</v>
      </c>
      <c r="B31" s="35" t="s">
        <v>50</v>
      </c>
      <c r="C31" s="36" t="s">
        <v>51</v>
      </c>
      <c r="D31" s="6"/>
      <c r="E31" s="37" t="s">
        <v>125</v>
      </c>
      <c r="F31" s="38">
        <f>338+294+2320</f>
        <v>2952</v>
      </c>
      <c r="G31" s="49">
        <v>7.0000000000000007E-2</v>
      </c>
      <c r="H31" s="16">
        <f>F31*(1+G31)</f>
        <v>3158.6400000000003</v>
      </c>
      <c r="I31" s="17" t="s">
        <v>53</v>
      </c>
      <c r="J31" s="66">
        <v>0</v>
      </c>
      <c r="K31" s="66">
        <v>0</v>
      </c>
      <c r="L31" s="86">
        <f>J31+K31</f>
        <v>0</v>
      </c>
      <c r="M31" s="39">
        <f>L31*H31</f>
        <v>0</v>
      </c>
      <c r="N31" s="29"/>
      <c r="O31" s="72"/>
    </row>
    <row r="32" spans="1:16" s="8" customFormat="1" x14ac:dyDescent="0.2">
      <c r="A32" s="28">
        <f>IF(F32&lt;&gt;"",1+MAX('SITE CONCRETE'!$A$6:A31),"")</f>
        <v>15</v>
      </c>
      <c r="B32" s="35" t="s">
        <v>50</v>
      </c>
      <c r="C32" s="36" t="s">
        <v>51</v>
      </c>
      <c r="D32" s="6"/>
      <c r="E32" s="37" t="s">
        <v>129</v>
      </c>
      <c r="F32" s="38">
        <f>0.16*F30</f>
        <v>1347.84</v>
      </c>
      <c r="G32" s="51">
        <v>7.0000000000000007E-2</v>
      </c>
      <c r="H32" s="16">
        <f>F32*(1+G32)</f>
        <v>1442.1887999999999</v>
      </c>
      <c r="I32" s="17" t="s">
        <v>53</v>
      </c>
      <c r="J32" s="66">
        <v>0</v>
      </c>
      <c r="K32" s="66">
        <v>0</v>
      </c>
      <c r="L32" s="86">
        <f>J32+K32</f>
        <v>0</v>
      </c>
      <c r="M32" s="39">
        <f>L32*H32</f>
        <v>0</v>
      </c>
      <c r="N32" s="29"/>
      <c r="O32" s="72"/>
    </row>
    <row r="33" spans="1:16" s="8" customFormat="1" x14ac:dyDescent="0.2">
      <c r="A33" s="28">
        <f>IF(F33&lt;&gt;"",1+MAX('SITE CONCRETE'!$A$6:A32),"")</f>
        <v>16</v>
      </c>
      <c r="B33" s="35" t="s">
        <v>50</v>
      </c>
      <c r="C33" s="36" t="s">
        <v>51</v>
      </c>
      <c r="D33" s="6"/>
      <c r="E33" s="37" t="s">
        <v>130</v>
      </c>
      <c r="F33" s="38">
        <f>F31</f>
        <v>2952</v>
      </c>
      <c r="G33" s="51">
        <v>7.0000000000000007E-2</v>
      </c>
      <c r="H33" s="16">
        <f>F33*(1+G33)</f>
        <v>3158.6400000000003</v>
      </c>
      <c r="I33" s="17" t="s">
        <v>53</v>
      </c>
      <c r="J33" s="66">
        <v>0</v>
      </c>
      <c r="K33" s="66">
        <v>0</v>
      </c>
      <c r="L33" s="86">
        <f>J33+K33</f>
        <v>0</v>
      </c>
      <c r="M33" s="39">
        <f>L33*H33</f>
        <v>0</v>
      </c>
      <c r="N33" s="29"/>
      <c r="O33" s="72"/>
    </row>
    <row r="34" spans="1:16" s="8" customFormat="1" ht="16.5" thickBot="1" x14ac:dyDescent="0.25">
      <c r="A34" s="28" t="str">
        <f>IF(F34&lt;&gt;"",1+MAX('SITE CONCRETE'!$A$6:A33),"")</f>
        <v/>
      </c>
      <c r="B34" s="35"/>
      <c r="C34" s="36"/>
      <c r="D34" s="6"/>
      <c r="E34" s="141"/>
      <c r="F34" s="14"/>
      <c r="G34" s="51"/>
      <c r="H34" s="52"/>
      <c r="I34" s="53"/>
      <c r="J34" s="50"/>
      <c r="K34" s="50"/>
      <c r="L34" s="85"/>
      <c r="M34" s="39"/>
      <c r="N34" s="29"/>
    </row>
    <row r="35" spans="1:16" s="8" customFormat="1" ht="16.5" thickBot="1" x14ac:dyDescent="0.25">
      <c r="A35" s="28" t="str">
        <f>IF(F35&lt;&gt;"",1+MAX('SITE CONCRETE'!$A$6:A34),"")</f>
        <v/>
      </c>
      <c r="B35" s="35"/>
      <c r="C35" s="54"/>
      <c r="D35" s="31"/>
      <c r="E35" s="225" t="s">
        <v>54</v>
      </c>
      <c r="F35" s="226"/>
      <c r="G35" s="32"/>
      <c r="H35" s="33"/>
      <c r="I35" s="34"/>
      <c r="J35" s="103"/>
      <c r="K35" s="103"/>
      <c r="L35" s="104"/>
      <c r="M35" s="105"/>
      <c r="N35" s="29"/>
    </row>
    <row r="36" spans="1:16" s="8" customFormat="1" x14ac:dyDescent="0.2">
      <c r="A36" s="28">
        <f>IF(F36&lt;&gt;"",1+MAX('SITE CONCRETE'!$A$6:A35),"")</f>
        <v>17</v>
      </c>
      <c r="B36" s="35" t="s">
        <v>50</v>
      </c>
      <c r="C36" s="36" t="s">
        <v>51</v>
      </c>
      <c r="D36" s="6"/>
      <c r="E36" s="48" t="s">
        <v>147</v>
      </c>
      <c r="F36" s="38">
        <f>1661+300</f>
        <v>1961</v>
      </c>
      <c r="G36" s="49">
        <v>7.0000000000000007E-2</v>
      </c>
      <c r="H36" s="16">
        <f>F36*(1+G36)</f>
        <v>2098.27</v>
      </c>
      <c r="I36" s="17" t="s">
        <v>52</v>
      </c>
      <c r="J36" s="228">
        <v>0</v>
      </c>
      <c r="K36" s="228">
        <v>0</v>
      </c>
      <c r="L36" s="86">
        <f>J36+K36</f>
        <v>0</v>
      </c>
      <c r="M36" s="39">
        <f>L36*H36</f>
        <v>0</v>
      </c>
      <c r="N36" s="29"/>
      <c r="O36" s="81"/>
      <c r="P36" s="81"/>
    </row>
    <row r="37" spans="1:16" s="8" customFormat="1" ht="16.5" thickBot="1" x14ac:dyDescent="0.25">
      <c r="A37" s="28" t="str">
        <f>IF(F37&lt;&gt;"",1+MAX('SITE CONCRETE'!$A$6:A36),"")</f>
        <v/>
      </c>
      <c r="B37" s="35"/>
      <c r="C37" s="36"/>
      <c r="D37" s="6"/>
      <c r="E37" s="141"/>
      <c r="F37" s="14"/>
      <c r="G37" s="51"/>
      <c r="H37" s="52"/>
      <c r="I37" s="53"/>
      <c r="J37" s="50"/>
      <c r="K37" s="50"/>
      <c r="L37" s="85"/>
      <c r="M37" s="39"/>
      <c r="N37" s="29"/>
    </row>
    <row r="38" spans="1:16" s="8" customFormat="1" ht="16.5" thickBot="1" x14ac:dyDescent="0.25">
      <c r="A38" s="28" t="str">
        <f>IF(F38&lt;&gt;"",1+MAX('SITE CONCRETE'!$A$6:A37),"")</f>
        <v/>
      </c>
      <c r="B38" s="35"/>
      <c r="C38" s="54"/>
      <c r="D38" s="31"/>
      <c r="E38" s="225" t="s">
        <v>75</v>
      </c>
      <c r="F38" s="226"/>
      <c r="G38" s="32"/>
      <c r="H38" s="33"/>
      <c r="I38" s="34"/>
      <c r="J38" s="103"/>
      <c r="K38" s="103"/>
      <c r="L38" s="104"/>
      <c r="M38" s="105"/>
      <c r="N38" s="29"/>
    </row>
    <row r="39" spans="1:16" s="8" customFormat="1" ht="63.75" thickBot="1" x14ac:dyDescent="0.25">
      <c r="A39" s="28" t="str">
        <f>IF(F39&lt;&gt;"",1+MAX('SITE CONCRETE'!$A$6:A38),"")</f>
        <v/>
      </c>
      <c r="B39" s="35"/>
      <c r="C39" s="36"/>
      <c r="D39" s="36"/>
      <c r="E39" s="44" t="s">
        <v>137</v>
      </c>
      <c r="F39" s="140"/>
      <c r="G39" s="45"/>
      <c r="H39" s="16"/>
      <c r="I39" s="17"/>
      <c r="J39" s="46"/>
      <c r="K39" s="46"/>
      <c r="L39" s="83"/>
      <c r="M39" s="47"/>
      <c r="N39" s="29"/>
    </row>
    <row r="40" spans="1:16" s="8" customFormat="1" x14ac:dyDescent="0.2">
      <c r="A40" s="28">
        <f>IF(F40&lt;&gt;"",1+MAX('SITE CONCRETE'!$A$6:A39),"")</f>
        <v>18</v>
      </c>
      <c r="B40" s="35" t="s">
        <v>45</v>
      </c>
      <c r="C40" s="36" t="s">
        <v>57</v>
      </c>
      <c r="D40" s="6"/>
      <c r="E40" s="48" t="s">
        <v>113</v>
      </c>
      <c r="F40" s="38">
        <f>45*3*1/27</f>
        <v>5</v>
      </c>
      <c r="G40" s="49">
        <v>7.0000000000000007E-2</v>
      </c>
      <c r="H40" s="16">
        <f t="shared" ref="H40:H46" si="4">F40*(1+G40)</f>
        <v>5.3500000000000005</v>
      </c>
      <c r="I40" s="17" t="s">
        <v>17</v>
      </c>
      <c r="J40" s="224">
        <f t="shared" ref="J40:K40" si="5">J$10</f>
        <v>0</v>
      </c>
      <c r="K40" s="224">
        <f t="shared" si="5"/>
        <v>0</v>
      </c>
      <c r="L40" s="86">
        <f t="shared" ref="L40:L46" si="6">J40+K40</f>
        <v>0</v>
      </c>
      <c r="M40" s="39">
        <f t="shared" ref="M40:M46" si="7">L40*H40</f>
        <v>0</v>
      </c>
      <c r="N40" s="29"/>
      <c r="O40" s="81"/>
      <c r="P40" s="81"/>
    </row>
    <row r="41" spans="1:16" s="8" customFormat="1" x14ac:dyDescent="0.2">
      <c r="A41" s="28">
        <f>IF(F41&lt;&gt;"",1+MAX('SITE CONCRETE'!$A$6:A40),"")</f>
        <v>19</v>
      </c>
      <c r="B41" s="35" t="s">
        <v>45</v>
      </c>
      <c r="C41" s="36" t="s">
        <v>57</v>
      </c>
      <c r="D41" s="6"/>
      <c r="E41" s="37" t="s">
        <v>76</v>
      </c>
      <c r="F41" s="38">
        <f>4*45*1.043*1.2*2</f>
        <v>450.57599999999996</v>
      </c>
      <c r="G41" s="49">
        <v>7.0000000000000007E-2</v>
      </c>
      <c r="H41" s="16">
        <f t="shared" si="4"/>
        <v>482.11631999999997</v>
      </c>
      <c r="I41" s="17" t="s">
        <v>18</v>
      </c>
      <c r="J41" s="66">
        <v>0</v>
      </c>
      <c r="K41" s="66">
        <v>0</v>
      </c>
      <c r="L41" s="86">
        <f t="shared" si="6"/>
        <v>0</v>
      </c>
      <c r="M41" s="39">
        <f t="shared" si="7"/>
        <v>0</v>
      </c>
      <c r="N41" s="29"/>
      <c r="O41" s="72"/>
    </row>
    <row r="42" spans="1:16" s="8" customFormat="1" x14ac:dyDescent="0.2">
      <c r="A42" s="28">
        <f>IF(F42&lt;&gt;"",1+MAX('SITE CONCRETE'!$A$6:A41),"")</f>
        <v>20</v>
      </c>
      <c r="B42" s="35" t="s">
        <v>45</v>
      </c>
      <c r="C42" s="36" t="s">
        <v>57</v>
      </c>
      <c r="D42" s="6"/>
      <c r="E42" s="37" t="s">
        <v>148</v>
      </c>
      <c r="F42" s="38">
        <f>45/1.5*3*1.043*1.2*2</f>
        <v>225.28799999999998</v>
      </c>
      <c r="G42" s="49">
        <v>7.0000000000000007E-2</v>
      </c>
      <c r="H42" s="16">
        <f t="shared" si="4"/>
        <v>241.05815999999999</v>
      </c>
      <c r="I42" s="17" t="s">
        <v>18</v>
      </c>
      <c r="J42" s="224">
        <f t="shared" ref="J42:K43" si="8">J$41</f>
        <v>0</v>
      </c>
      <c r="K42" s="224">
        <f t="shared" si="8"/>
        <v>0</v>
      </c>
      <c r="L42" s="86">
        <f t="shared" si="6"/>
        <v>0</v>
      </c>
      <c r="M42" s="39">
        <f t="shared" si="7"/>
        <v>0</v>
      </c>
      <c r="N42" s="29"/>
      <c r="O42" s="72"/>
    </row>
    <row r="43" spans="1:16" s="8" customFormat="1" x14ac:dyDescent="0.2">
      <c r="A43" s="28">
        <f>IF(F43&lt;&gt;"",1+MAX('SITE CONCRETE'!$A$6:A42),"")</f>
        <v>21</v>
      </c>
      <c r="B43" s="35" t="s">
        <v>45</v>
      </c>
      <c r="C43" s="36" t="s">
        <v>57</v>
      </c>
      <c r="D43" s="6"/>
      <c r="E43" s="37" t="s">
        <v>77</v>
      </c>
      <c r="F43" s="38">
        <f>45/2.67*3.5*1.043*1.2</f>
        <v>73.830337078651681</v>
      </c>
      <c r="G43" s="49">
        <v>7.0000000000000007E-2</v>
      </c>
      <c r="H43" s="16">
        <f t="shared" si="4"/>
        <v>78.9984606741573</v>
      </c>
      <c r="I43" s="17" t="s">
        <v>18</v>
      </c>
      <c r="J43" s="224">
        <f t="shared" si="8"/>
        <v>0</v>
      </c>
      <c r="K43" s="224">
        <f t="shared" si="8"/>
        <v>0</v>
      </c>
      <c r="L43" s="86">
        <f t="shared" si="6"/>
        <v>0</v>
      </c>
      <c r="M43" s="39">
        <f t="shared" si="7"/>
        <v>0</v>
      </c>
      <c r="N43" s="29"/>
      <c r="O43" s="72"/>
    </row>
    <row r="44" spans="1:16" s="8" customFormat="1" x14ac:dyDescent="0.2">
      <c r="A44" s="28">
        <f>IF(F44&lt;&gt;"",1+MAX('SITE CONCRETE'!$A$6:A43),"")</f>
        <v>22</v>
      </c>
      <c r="B44" s="35" t="s">
        <v>45</v>
      </c>
      <c r="C44" s="36" t="s">
        <v>57</v>
      </c>
      <c r="D44" s="6"/>
      <c r="E44" s="37" t="s">
        <v>152</v>
      </c>
      <c r="F44" s="38">
        <f>45*1*2</f>
        <v>90</v>
      </c>
      <c r="G44" s="51">
        <v>7.0000000000000007E-2</v>
      </c>
      <c r="H44" s="16">
        <f t="shared" si="4"/>
        <v>96.300000000000011</v>
      </c>
      <c r="I44" s="17" t="s">
        <v>19</v>
      </c>
      <c r="J44" s="66">
        <v>0</v>
      </c>
      <c r="K44" s="66">
        <v>0</v>
      </c>
      <c r="L44" s="86">
        <f t="shared" si="6"/>
        <v>0</v>
      </c>
      <c r="M44" s="39">
        <f t="shared" si="7"/>
        <v>0</v>
      </c>
      <c r="N44" s="29"/>
      <c r="O44" s="72"/>
    </row>
    <row r="45" spans="1:16" s="8" customFormat="1" x14ac:dyDescent="0.2">
      <c r="A45" s="28">
        <f>IF(F45&lt;&gt;"",1+MAX('SITE CONCRETE'!$A$6:A44),"")</f>
        <v>23</v>
      </c>
      <c r="B45" s="35" t="s">
        <v>45</v>
      </c>
      <c r="C45" s="36" t="s">
        <v>57</v>
      </c>
      <c r="D45" s="6"/>
      <c r="E45" s="37" t="s">
        <v>153</v>
      </c>
      <c r="F45" s="38">
        <f>45*4*1.5/27</f>
        <v>10</v>
      </c>
      <c r="G45" s="51">
        <v>7.0000000000000007E-2</v>
      </c>
      <c r="H45" s="16">
        <f t="shared" si="4"/>
        <v>10.700000000000001</v>
      </c>
      <c r="I45" s="17" t="s">
        <v>17</v>
      </c>
      <c r="J45" s="224">
        <f>J$12</f>
        <v>0</v>
      </c>
      <c r="K45" s="224">
        <f>K$12</f>
        <v>0</v>
      </c>
      <c r="L45" s="86">
        <f t="shared" si="6"/>
        <v>0</v>
      </c>
      <c r="M45" s="39">
        <f t="shared" si="7"/>
        <v>0</v>
      </c>
      <c r="N45" s="29"/>
      <c r="O45" s="72"/>
    </row>
    <row r="46" spans="1:16" s="8" customFormat="1" x14ac:dyDescent="0.2">
      <c r="A46" s="28">
        <f>IF(F46&lt;&gt;"",1+MAX('SITE CONCRETE'!$A$6:A45),"")</f>
        <v>24</v>
      </c>
      <c r="B46" s="35" t="s">
        <v>45</v>
      </c>
      <c r="C46" s="36" t="s">
        <v>57</v>
      </c>
      <c r="D46" s="6"/>
      <c r="E46" s="37" t="s">
        <v>20</v>
      </c>
      <c r="F46" s="38">
        <f>F45-F40</f>
        <v>5</v>
      </c>
      <c r="G46" s="51">
        <v>7.0000000000000007E-2</v>
      </c>
      <c r="H46" s="16">
        <f t="shared" si="4"/>
        <v>5.3500000000000005</v>
      </c>
      <c r="I46" s="17" t="s">
        <v>17</v>
      </c>
      <c r="J46" s="224">
        <f t="shared" ref="J46:K46" si="9">J$13</f>
        <v>0</v>
      </c>
      <c r="K46" s="224">
        <f t="shared" si="9"/>
        <v>0</v>
      </c>
      <c r="L46" s="86">
        <f t="shared" si="6"/>
        <v>0</v>
      </c>
      <c r="M46" s="39">
        <f t="shared" si="7"/>
        <v>0</v>
      </c>
      <c r="N46" s="29"/>
    </row>
    <row r="47" spans="1:16" s="8" customFormat="1" ht="16.5" thickBot="1" x14ac:dyDescent="0.25">
      <c r="A47" s="28" t="str">
        <f>IF(F47&lt;&gt;"",1+MAX('SITE CONCRETE'!$A$6:A46),"")</f>
        <v/>
      </c>
      <c r="B47" s="35"/>
      <c r="C47" s="36"/>
      <c r="D47" s="6"/>
      <c r="E47" s="141"/>
      <c r="F47" s="14"/>
      <c r="G47" s="51"/>
      <c r="H47" s="52"/>
      <c r="I47" s="53"/>
      <c r="J47" s="50"/>
      <c r="K47" s="50"/>
      <c r="L47" s="85"/>
      <c r="M47" s="39"/>
      <c r="N47" s="29"/>
    </row>
    <row r="48" spans="1:16" s="8" customFormat="1" ht="16.5" thickBot="1" x14ac:dyDescent="0.25">
      <c r="A48" s="28" t="str">
        <f>IF(F48&lt;&gt;"",1+MAX('SITE CONCRETE'!$A$6:A47),"")</f>
        <v/>
      </c>
      <c r="B48" s="35"/>
      <c r="C48" s="54"/>
      <c r="D48" s="31"/>
      <c r="E48" s="225" t="s">
        <v>71</v>
      </c>
      <c r="F48" s="226"/>
      <c r="G48" s="32"/>
      <c r="H48" s="33"/>
      <c r="I48" s="34"/>
      <c r="J48" s="103"/>
      <c r="K48" s="103"/>
      <c r="L48" s="104"/>
      <c r="M48" s="105"/>
      <c r="N48" s="29"/>
    </row>
    <row r="49" spans="1:16" s="8" customFormat="1" x14ac:dyDescent="0.2">
      <c r="A49" s="28">
        <f>IF(F49&lt;&gt;"",1+MAX('SITE CONCRETE'!$A$6:A48),"")</f>
        <v>25</v>
      </c>
      <c r="B49" s="35" t="s">
        <v>45</v>
      </c>
      <c r="C49" s="36" t="s">
        <v>78</v>
      </c>
      <c r="D49" s="6"/>
      <c r="E49" s="48" t="s">
        <v>113</v>
      </c>
      <c r="F49" s="38">
        <f>84*1.5*1/27</f>
        <v>4.666666666666667</v>
      </c>
      <c r="G49" s="49">
        <v>7.0000000000000007E-2</v>
      </c>
      <c r="H49" s="16">
        <f t="shared" ref="H49:H54" si="10">F49*(1+G49)</f>
        <v>4.9933333333333341</v>
      </c>
      <c r="I49" s="17" t="s">
        <v>17</v>
      </c>
      <c r="J49" s="224">
        <f t="shared" ref="J49:K49" si="11">J$10</f>
        <v>0</v>
      </c>
      <c r="K49" s="224">
        <f t="shared" si="11"/>
        <v>0</v>
      </c>
      <c r="L49" s="86">
        <f t="shared" ref="L49:L54" si="12">J49+K49</f>
        <v>0</v>
      </c>
      <c r="M49" s="39">
        <f t="shared" ref="M49:M54" si="13">L49*H49</f>
        <v>0</v>
      </c>
      <c r="N49" s="29"/>
      <c r="O49" s="81"/>
      <c r="P49" s="81"/>
    </row>
    <row r="50" spans="1:16" s="8" customFormat="1" x14ac:dyDescent="0.2">
      <c r="A50" s="28">
        <f>IF(F50&lt;&gt;"",1+MAX('SITE CONCRETE'!$A$6:A49),"")</f>
        <v>26</v>
      </c>
      <c r="B50" s="35" t="s">
        <v>45</v>
      </c>
      <c r="C50" s="36" t="s">
        <v>78</v>
      </c>
      <c r="D50" s="6"/>
      <c r="E50" s="37" t="s">
        <v>133</v>
      </c>
      <c r="F50" s="38">
        <f>84*1</f>
        <v>84</v>
      </c>
      <c r="G50" s="49">
        <v>7.0000000000000007E-2</v>
      </c>
      <c r="H50" s="16">
        <f t="shared" si="10"/>
        <v>89.88000000000001</v>
      </c>
      <c r="I50" s="17" t="s">
        <v>19</v>
      </c>
      <c r="J50" s="224">
        <f t="shared" ref="J50:K50" si="14">J$44</f>
        <v>0</v>
      </c>
      <c r="K50" s="224">
        <f t="shared" si="14"/>
        <v>0</v>
      </c>
      <c r="L50" s="86">
        <f t="shared" si="12"/>
        <v>0</v>
      </c>
      <c r="M50" s="39">
        <f t="shared" si="13"/>
        <v>0</v>
      </c>
      <c r="N50" s="29"/>
      <c r="O50" s="72"/>
    </row>
    <row r="51" spans="1:16" s="8" customFormat="1" x14ac:dyDescent="0.2">
      <c r="A51" s="28">
        <f>IF(F51&lt;&gt;"",1+MAX('SITE CONCRETE'!$A$6:A50),"")</f>
        <v>27</v>
      </c>
      <c r="B51" s="35" t="s">
        <v>45</v>
      </c>
      <c r="C51" s="36" t="s">
        <v>78</v>
      </c>
      <c r="D51" s="6"/>
      <c r="E51" s="37" t="s">
        <v>72</v>
      </c>
      <c r="F51" s="38">
        <f>2*84*1.043*1.2</f>
        <v>210.26879999999997</v>
      </c>
      <c r="G51" s="51">
        <v>7.0000000000000007E-2</v>
      </c>
      <c r="H51" s="16">
        <f t="shared" si="10"/>
        <v>224.98761599999997</v>
      </c>
      <c r="I51" s="17" t="s">
        <v>18</v>
      </c>
      <c r="J51" s="224">
        <f t="shared" ref="J51:K52" si="15">J$41</f>
        <v>0</v>
      </c>
      <c r="K51" s="224">
        <f t="shared" si="15"/>
        <v>0</v>
      </c>
      <c r="L51" s="86">
        <f t="shared" si="12"/>
        <v>0</v>
      </c>
      <c r="M51" s="39">
        <f t="shared" si="13"/>
        <v>0</v>
      </c>
      <c r="N51" s="29"/>
      <c r="O51" s="72"/>
    </row>
    <row r="52" spans="1:16" s="8" customFormat="1" x14ac:dyDescent="0.2">
      <c r="A52" s="28">
        <f>IF(F52&lt;&gt;"",1+MAX('SITE CONCRETE'!$A$6:A51),"")</f>
        <v>28</v>
      </c>
      <c r="B52" s="35" t="s">
        <v>45</v>
      </c>
      <c r="C52" s="36" t="s">
        <v>78</v>
      </c>
      <c r="D52" s="6"/>
      <c r="E52" s="37" t="s">
        <v>149</v>
      </c>
      <c r="F52" s="38">
        <f>84*1*1.043*1.2</f>
        <v>105.13439999999999</v>
      </c>
      <c r="G52" s="51">
        <v>7.0000000000000007E-2</v>
      </c>
      <c r="H52" s="16">
        <f t="shared" si="10"/>
        <v>112.49380799999999</v>
      </c>
      <c r="I52" s="17" t="s">
        <v>18</v>
      </c>
      <c r="J52" s="224">
        <f t="shared" si="15"/>
        <v>0</v>
      </c>
      <c r="K52" s="224">
        <f t="shared" si="15"/>
        <v>0</v>
      </c>
      <c r="L52" s="86">
        <f t="shared" si="12"/>
        <v>0</v>
      </c>
      <c r="M52" s="39">
        <f t="shared" si="13"/>
        <v>0</v>
      </c>
      <c r="N52" s="29"/>
      <c r="O52" s="72"/>
    </row>
    <row r="53" spans="1:16" s="8" customFormat="1" x14ac:dyDescent="0.2">
      <c r="A53" s="28">
        <f>IF(F53&lt;&gt;"",1+MAX('SITE CONCRETE'!$A$6:A52),"")</f>
        <v>29</v>
      </c>
      <c r="B53" s="35" t="s">
        <v>45</v>
      </c>
      <c r="C53" s="36" t="s">
        <v>78</v>
      </c>
      <c r="D53" s="6"/>
      <c r="E53" s="37" t="s">
        <v>153</v>
      </c>
      <c r="F53" s="38">
        <f>84*2*1/27</f>
        <v>6.2222222222222223</v>
      </c>
      <c r="G53" s="51">
        <v>7.0000000000000007E-2</v>
      </c>
      <c r="H53" s="16">
        <f t="shared" si="10"/>
        <v>6.6577777777777785</v>
      </c>
      <c r="I53" s="17" t="s">
        <v>17</v>
      </c>
      <c r="J53" s="224">
        <f>J$12</f>
        <v>0</v>
      </c>
      <c r="K53" s="224">
        <f>K$12</f>
        <v>0</v>
      </c>
      <c r="L53" s="86">
        <f t="shared" si="12"/>
        <v>0</v>
      </c>
      <c r="M53" s="39">
        <f t="shared" si="13"/>
        <v>0</v>
      </c>
      <c r="N53" s="29"/>
      <c r="O53" s="72"/>
    </row>
    <row r="54" spans="1:16" s="8" customFormat="1" x14ac:dyDescent="0.2">
      <c r="A54" s="28">
        <f>IF(F54&lt;&gt;"",1+MAX('SITE CONCRETE'!$A$6:A53),"")</f>
        <v>30</v>
      </c>
      <c r="B54" s="35" t="s">
        <v>45</v>
      </c>
      <c r="C54" s="36" t="s">
        <v>78</v>
      </c>
      <c r="D54" s="6"/>
      <c r="E54" s="37" t="s">
        <v>20</v>
      </c>
      <c r="F54" s="38">
        <f>F53-F49</f>
        <v>1.5555555555555554</v>
      </c>
      <c r="G54" s="51">
        <v>7.0000000000000007E-2</v>
      </c>
      <c r="H54" s="16">
        <f t="shared" si="10"/>
        <v>1.6644444444444444</v>
      </c>
      <c r="I54" s="17" t="s">
        <v>17</v>
      </c>
      <c r="J54" s="224">
        <f t="shared" ref="J54:K54" si="16">J$13</f>
        <v>0</v>
      </c>
      <c r="K54" s="224">
        <f t="shared" si="16"/>
        <v>0</v>
      </c>
      <c r="L54" s="86">
        <f t="shared" si="12"/>
        <v>0</v>
      </c>
      <c r="M54" s="39">
        <f t="shared" si="13"/>
        <v>0</v>
      </c>
      <c r="N54" s="29"/>
    </row>
    <row r="55" spans="1:16" s="8" customFormat="1" ht="16.5" thickBot="1" x14ac:dyDescent="0.25">
      <c r="A55" s="28" t="str">
        <f>IF(F55&lt;&gt;"",1+MAX('SITE CONCRETE'!$A$6:A54),"")</f>
        <v/>
      </c>
      <c r="B55" s="35"/>
      <c r="C55" s="36"/>
      <c r="D55" s="6"/>
      <c r="E55" s="141"/>
      <c r="F55" s="14"/>
      <c r="G55" s="51"/>
      <c r="H55" s="52"/>
      <c r="I55" s="53"/>
      <c r="J55" s="50"/>
      <c r="K55" s="50"/>
      <c r="L55" s="85"/>
      <c r="M55" s="39"/>
      <c r="N55" s="29"/>
    </row>
    <row r="56" spans="1:16" s="8" customFormat="1" ht="16.5" thickBot="1" x14ac:dyDescent="0.25">
      <c r="A56" s="28" t="str">
        <f>IF(F56&lt;&gt;"",1+MAX('SITE CONCRETE'!$A$6:A55),"")</f>
        <v/>
      </c>
      <c r="B56" s="35"/>
      <c r="C56" s="54"/>
      <c r="D56" s="31"/>
      <c r="E56" s="225" t="s">
        <v>79</v>
      </c>
      <c r="F56" s="226"/>
      <c r="G56" s="32"/>
      <c r="H56" s="33"/>
      <c r="I56" s="34"/>
      <c r="J56" s="103"/>
      <c r="K56" s="103"/>
      <c r="L56" s="104"/>
      <c r="M56" s="105"/>
      <c r="N56" s="29"/>
    </row>
    <row r="57" spans="1:16" s="8" customFormat="1" ht="16.5" thickBot="1" x14ac:dyDescent="0.25">
      <c r="A57" s="28" t="str">
        <f>IF(F57&lt;&gt;"",1+MAX('SITE CONCRETE'!$A$6:A56),"")</f>
        <v/>
      </c>
      <c r="B57" s="35"/>
      <c r="C57" s="36"/>
      <c r="D57" s="36"/>
      <c r="E57" s="44" t="s">
        <v>154</v>
      </c>
      <c r="F57" s="140"/>
      <c r="G57" s="45"/>
      <c r="H57" s="16"/>
      <c r="I57" s="17"/>
      <c r="J57" s="46"/>
      <c r="K57" s="46"/>
      <c r="L57" s="83"/>
      <c r="M57" s="47"/>
      <c r="N57" s="29"/>
    </row>
    <row r="58" spans="1:16" s="8" customFormat="1" x14ac:dyDescent="0.2">
      <c r="A58" s="28">
        <f>IF(F58&lt;&gt;"",1+MAX('SITE CONCRETE'!$A$6:A57),"")</f>
        <v>31</v>
      </c>
      <c r="B58" s="35" t="s">
        <v>45</v>
      </c>
      <c r="C58" s="36" t="s">
        <v>57</v>
      </c>
      <c r="D58" s="249">
        <f>H58*0.67/27</f>
        <v>9.1603888888888907</v>
      </c>
      <c r="E58" s="48" t="s">
        <v>155</v>
      </c>
      <c r="F58" s="38">
        <v>345</v>
      </c>
      <c r="G58" s="49">
        <v>7.0000000000000007E-2</v>
      </c>
      <c r="H58" s="16">
        <f t="shared" ref="H58:H64" si="17">F58*(1+G58)</f>
        <v>369.15000000000003</v>
      </c>
      <c r="I58" s="17" t="s">
        <v>52</v>
      </c>
      <c r="J58" s="228">
        <v>0</v>
      </c>
      <c r="K58" s="228">
        <v>0</v>
      </c>
      <c r="L58" s="86">
        <f t="shared" ref="L58:L64" si="18">J58+K58</f>
        <v>0</v>
      </c>
      <c r="M58" s="39">
        <f t="shared" ref="M58:M64" si="19">L58*H58</f>
        <v>0</v>
      </c>
      <c r="N58" s="29"/>
      <c r="O58" s="81"/>
      <c r="P58" s="81"/>
    </row>
    <row r="59" spans="1:16" s="8" customFormat="1" x14ac:dyDescent="0.2">
      <c r="A59" s="28">
        <f>IF(F59&lt;&gt;"",1+MAX('SITE CONCRETE'!$A$6:A58),"")</f>
        <v>32</v>
      </c>
      <c r="B59" s="35" t="s">
        <v>45</v>
      </c>
      <c r="C59" s="36" t="s">
        <v>57</v>
      </c>
      <c r="D59" s="6"/>
      <c r="E59" s="37" t="s">
        <v>145</v>
      </c>
      <c r="F59" s="38">
        <v>110</v>
      </c>
      <c r="G59" s="49">
        <v>7.0000000000000007E-2</v>
      </c>
      <c r="H59" s="16">
        <f t="shared" si="17"/>
        <v>117.7</v>
      </c>
      <c r="I59" s="17" t="s">
        <v>53</v>
      </c>
      <c r="J59" s="66">
        <v>0</v>
      </c>
      <c r="K59" s="66">
        <v>0</v>
      </c>
      <c r="L59" s="86">
        <f t="shared" si="18"/>
        <v>0</v>
      </c>
      <c r="M59" s="39">
        <f t="shared" si="19"/>
        <v>0</v>
      </c>
      <c r="N59" s="29"/>
      <c r="O59" s="72"/>
    </row>
    <row r="60" spans="1:16" s="8" customFormat="1" x14ac:dyDescent="0.2">
      <c r="A60" s="28">
        <f>IF(F60&lt;&gt;"",1+MAX('SITE CONCRETE'!$A$6:A59),"")</f>
        <v>33</v>
      </c>
      <c r="B60" s="35" t="s">
        <v>45</v>
      </c>
      <c r="C60" s="36" t="s">
        <v>57</v>
      </c>
      <c r="D60" s="6"/>
      <c r="E60" s="37" t="s">
        <v>150</v>
      </c>
      <c r="F60" s="38">
        <f>1.043*1.2*2*F58</f>
        <v>863.60399999999993</v>
      </c>
      <c r="G60" s="51">
        <v>7.0000000000000007E-2</v>
      </c>
      <c r="H60" s="16">
        <f t="shared" si="17"/>
        <v>924.05628000000002</v>
      </c>
      <c r="I60" s="17" t="s">
        <v>18</v>
      </c>
      <c r="J60" s="224">
        <f t="shared" ref="J60:K60" si="20">J$41</f>
        <v>0</v>
      </c>
      <c r="K60" s="224">
        <f t="shared" si="20"/>
        <v>0</v>
      </c>
      <c r="L60" s="86">
        <f t="shared" si="18"/>
        <v>0</v>
      </c>
      <c r="M60" s="39">
        <f t="shared" si="19"/>
        <v>0</v>
      </c>
      <c r="N60" s="29"/>
      <c r="O60" s="72"/>
    </row>
    <row r="61" spans="1:16" s="8" customFormat="1" x14ac:dyDescent="0.2">
      <c r="A61" s="28">
        <f>IF(F61&lt;&gt;"",1+MAX('SITE CONCRETE'!$A$6:A60),"")</f>
        <v>34</v>
      </c>
      <c r="B61" s="35" t="s">
        <v>45</v>
      </c>
      <c r="C61" s="36" t="s">
        <v>80</v>
      </c>
      <c r="D61" s="6"/>
      <c r="E61" s="37" t="s">
        <v>127</v>
      </c>
      <c r="F61" s="38">
        <f>F60*0.33/27</f>
        <v>10.555159999999999</v>
      </c>
      <c r="G61" s="51">
        <v>7.0000000000000007E-2</v>
      </c>
      <c r="H61" s="16">
        <f t="shared" si="17"/>
        <v>11.2940212</v>
      </c>
      <c r="I61" s="17" t="s">
        <v>17</v>
      </c>
      <c r="J61" s="66">
        <v>0</v>
      </c>
      <c r="K61" s="66">
        <v>0</v>
      </c>
      <c r="L61" s="86">
        <f t="shared" si="18"/>
        <v>0</v>
      </c>
      <c r="M61" s="39">
        <f t="shared" si="19"/>
        <v>0</v>
      </c>
      <c r="N61" s="29"/>
      <c r="O61" s="72"/>
    </row>
    <row r="62" spans="1:16" s="8" customFormat="1" x14ac:dyDescent="0.2">
      <c r="A62" s="28">
        <f>IF(F62&lt;&gt;"",1+MAX('SITE CONCRETE'!$A$6:A61),"")</f>
        <v>35</v>
      </c>
      <c r="B62" s="35" t="s">
        <v>45</v>
      </c>
      <c r="C62" s="36" t="s">
        <v>57</v>
      </c>
      <c r="D62" s="6"/>
      <c r="E62" s="37" t="s">
        <v>128</v>
      </c>
      <c r="F62" s="38">
        <f>F58</f>
        <v>345</v>
      </c>
      <c r="G62" s="51">
        <v>7.0000000000000007E-2</v>
      </c>
      <c r="H62" s="16">
        <f t="shared" si="17"/>
        <v>369.15000000000003</v>
      </c>
      <c r="I62" s="17" t="s">
        <v>52</v>
      </c>
      <c r="J62" s="228">
        <v>0</v>
      </c>
      <c r="K62" s="228">
        <v>0</v>
      </c>
      <c r="L62" s="86">
        <f t="shared" si="18"/>
        <v>0</v>
      </c>
      <c r="M62" s="39">
        <f t="shared" si="19"/>
        <v>0</v>
      </c>
      <c r="N62" s="29"/>
    </row>
    <row r="63" spans="1:16" s="8" customFormat="1" x14ac:dyDescent="0.2">
      <c r="A63" s="28">
        <f>IF(F63&lt;&gt;"",1+MAX('SITE CONCRETE'!$A$6:A62),"")</f>
        <v>36</v>
      </c>
      <c r="B63" s="35" t="s">
        <v>45</v>
      </c>
      <c r="C63" s="36" t="s">
        <v>57</v>
      </c>
      <c r="D63" s="6"/>
      <c r="E63" s="37" t="s">
        <v>129</v>
      </c>
      <c r="F63" s="38">
        <f>0.16*F60</f>
        <v>138.17663999999999</v>
      </c>
      <c r="G63" s="51">
        <v>7.0000000000000007E-2</v>
      </c>
      <c r="H63" s="16">
        <f t="shared" si="17"/>
        <v>147.84900479999999</v>
      </c>
      <c r="I63" s="17" t="s">
        <v>53</v>
      </c>
      <c r="J63" s="224">
        <f t="shared" ref="J63:K63" si="21">J$32</f>
        <v>0</v>
      </c>
      <c r="K63" s="224">
        <f t="shared" si="21"/>
        <v>0</v>
      </c>
      <c r="L63" s="86">
        <f t="shared" si="18"/>
        <v>0</v>
      </c>
      <c r="M63" s="39">
        <f t="shared" si="19"/>
        <v>0</v>
      </c>
      <c r="N63" s="29"/>
    </row>
    <row r="64" spans="1:16" s="8" customFormat="1" ht="16.5" thickBot="1" x14ac:dyDescent="0.25">
      <c r="A64" s="28">
        <f>IF(F64&lt;&gt;"",1+MAX('SITE CONCRETE'!$A$6:A63),"")</f>
        <v>37</v>
      </c>
      <c r="B64" s="35" t="s">
        <v>45</v>
      </c>
      <c r="C64" s="36" t="s">
        <v>57</v>
      </c>
      <c r="D64" s="6"/>
      <c r="E64" s="37" t="s">
        <v>130</v>
      </c>
      <c r="F64" s="38">
        <f>F59</f>
        <v>110</v>
      </c>
      <c r="G64" s="51">
        <v>7.0000000000000007E-2</v>
      </c>
      <c r="H64" s="16">
        <f t="shared" si="17"/>
        <v>117.7</v>
      </c>
      <c r="I64" s="17" t="s">
        <v>53</v>
      </c>
      <c r="J64" s="224">
        <f t="shared" ref="J64:K64" si="22">J$33</f>
        <v>0</v>
      </c>
      <c r="K64" s="224">
        <f t="shared" si="22"/>
        <v>0</v>
      </c>
      <c r="L64" s="86">
        <f t="shared" si="18"/>
        <v>0</v>
      </c>
      <c r="M64" s="39">
        <f t="shared" si="19"/>
        <v>0</v>
      </c>
      <c r="N64" s="29"/>
    </row>
    <row r="65" spans="1:16" s="8" customFormat="1" ht="16.5" thickBot="1" x14ac:dyDescent="0.25">
      <c r="A65" s="28" t="str">
        <f>IF(F65&lt;&gt;"",1+MAX('SITE CONCRETE'!$A$6:A64),"")</f>
        <v/>
      </c>
      <c r="B65" s="35"/>
      <c r="C65" s="36"/>
      <c r="D65" s="36"/>
      <c r="E65" s="44" t="s">
        <v>162</v>
      </c>
      <c r="F65" s="140"/>
      <c r="G65" s="45"/>
      <c r="H65" s="16"/>
      <c r="I65" s="17"/>
      <c r="J65" s="46"/>
      <c r="K65" s="46"/>
      <c r="L65" s="83"/>
      <c r="M65" s="47"/>
      <c r="N65" s="29"/>
    </row>
    <row r="66" spans="1:16" s="8" customFormat="1" x14ac:dyDescent="0.2">
      <c r="A66" s="28">
        <f>IF(F66&lt;&gt;"",1+MAX('SITE CONCRETE'!$A$6:A65),"")</f>
        <v>38</v>
      </c>
      <c r="B66" s="35" t="s">
        <v>45</v>
      </c>
      <c r="C66" s="36" t="s">
        <v>57</v>
      </c>
      <c r="D66" s="249">
        <f>H66*0.5/27</f>
        <v>10.700000000000001</v>
      </c>
      <c r="E66" s="48" t="s">
        <v>161</v>
      </c>
      <c r="F66" s="38">
        <v>540</v>
      </c>
      <c r="G66" s="49">
        <v>7.0000000000000007E-2</v>
      </c>
      <c r="H66" s="16">
        <f t="shared" ref="H66:H73" si="23">F66*(1+G66)</f>
        <v>577.80000000000007</v>
      </c>
      <c r="I66" s="17" t="s">
        <v>52</v>
      </c>
      <c r="J66" s="228">
        <v>0</v>
      </c>
      <c r="K66" s="228">
        <v>0</v>
      </c>
      <c r="L66" s="86">
        <f t="shared" ref="L66:L73" si="24">J66+K66</f>
        <v>0</v>
      </c>
      <c r="M66" s="39">
        <f t="shared" ref="M66:M73" si="25">L66*H66</f>
        <v>0</v>
      </c>
      <c r="N66" s="29"/>
      <c r="O66" s="81"/>
      <c r="P66" s="81"/>
    </row>
    <row r="67" spans="1:16" s="8" customFormat="1" x14ac:dyDescent="0.2">
      <c r="A67" s="28">
        <f>IF(F67&lt;&gt;"",1+MAX('SITE CONCRETE'!$A$6:A66),"")</f>
        <v>39</v>
      </c>
      <c r="B67" s="35" t="s">
        <v>45</v>
      </c>
      <c r="C67" s="36" t="s">
        <v>57</v>
      </c>
      <c r="D67" s="6"/>
      <c r="E67" s="37" t="s">
        <v>146</v>
      </c>
      <c r="F67" s="38">
        <v>100</v>
      </c>
      <c r="G67" s="49">
        <v>7.0000000000000007E-2</v>
      </c>
      <c r="H67" s="16">
        <f t="shared" si="23"/>
        <v>107</v>
      </c>
      <c r="I67" s="17" t="s">
        <v>53</v>
      </c>
      <c r="J67" s="66">
        <v>0</v>
      </c>
      <c r="K67" s="66">
        <v>0</v>
      </c>
      <c r="L67" s="86">
        <f t="shared" si="24"/>
        <v>0</v>
      </c>
      <c r="M67" s="39">
        <f t="shared" si="25"/>
        <v>0</v>
      </c>
      <c r="N67" s="29"/>
      <c r="O67" s="72"/>
    </row>
    <row r="68" spans="1:16" s="8" customFormat="1" x14ac:dyDescent="0.2">
      <c r="A68" s="28">
        <f>IF(F68&lt;&gt;"",1+MAX('SITE CONCRETE'!$A$6:A67),"")</f>
        <v>40</v>
      </c>
      <c r="B68" s="35" t="s">
        <v>45</v>
      </c>
      <c r="C68" s="36" t="s">
        <v>57</v>
      </c>
      <c r="D68" s="6"/>
      <c r="E68" s="37" t="s">
        <v>150</v>
      </c>
      <c r="F68" s="38">
        <f>1.043*1.2*2*F66</f>
        <v>1351.7279999999998</v>
      </c>
      <c r="G68" s="51">
        <v>7.0000000000000007E-2</v>
      </c>
      <c r="H68" s="16">
        <f t="shared" si="23"/>
        <v>1446.3489599999998</v>
      </c>
      <c r="I68" s="17" t="s">
        <v>18</v>
      </c>
      <c r="J68" s="224">
        <f t="shared" ref="J68:K68" si="26">J$41</f>
        <v>0</v>
      </c>
      <c r="K68" s="224">
        <f t="shared" si="26"/>
        <v>0</v>
      </c>
      <c r="L68" s="86">
        <f t="shared" si="24"/>
        <v>0</v>
      </c>
      <c r="M68" s="39">
        <f t="shared" si="25"/>
        <v>0</v>
      </c>
      <c r="N68" s="29"/>
      <c r="O68" s="72"/>
    </row>
    <row r="69" spans="1:16" s="8" customFormat="1" x14ac:dyDescent="0.2">
      <c r="A69" s="28">
        <f>IF(F69&lt;&gt;"",1+MAX('SITE CONCRETE'!$A$6:A68),"")</f>
        <v>41</v>
      </c>
      <c r="B69" s="35" t="s">
        <v>45</v>
      </c>
      <c r="C69" s="248" t="s">
        <v>80</v>
      </c>
      <c r="D69" s="6"/>
      <c r="E69" s="37" t="s">
        <v>127</v>
      </c>
      <c r="F69" s="38">
        <f>F68*0.33/27</f>
        <v>16.52112</v>
      </c>
      <c r="G69" s="51">
        <v>7.0000000000000007E-2</v>
      </c>
      <c r="H69" s="16">
        <f t="shared" si="23"/>
        <v>17.677598400000001</v>
      </c>
      <c r="I69" s="17" t="s">
        <v>17</v>
      </c>
      <c r="J69" s="224">
        <f t="shared" ref="J69:K69" si="27">J$61</f>
        <v>0</v>
      </c>
      <c r="K69" s="224">
        <f t="shared" si="27"/>
        <v>0</v>
      </c>
      <c r="L69" s="86">
        <f t="shared" si="24"/>
        <v>0</v>
      </c>
      <c r="M69" s="39">
        <f t="shared" si="25"/>
        <v>0</v>
      </c>
      <c r="N69" s="29"/>
      <c r="O69" s="72"/>
    </row>
    <row r="70" spans="1:16" s="8" customFormat="1" x14ac:dyDescent="0.2">
      <c r="A70" s="28">
        <f>IF(F70&lt;&gt;"",1+MAX('SITE CONCRETE'!$A$6:A69),"")</f>
        <v>42</v>
      </c>
      <c r="B70" s="35" t="s">
        <v>45</v>
      </c>
      <c r="C70" s="36" t="s">
        <v>57</v>
      </c>
      <c r="D70" s="6"/>
      <c r="E70" s="37" t="s">
        <v>128</v>
      </c>
      <c r="F70" s="38">
        <f>F66</f>
        <v>540</v>
      </c>
      <c r="G70" s="51">
        <v>7.0000000000000007E-2</v>
      </c>
      <c r="H70" s="16">
        <f t="shared" si="23"/>
        <v>577.80000000000007</v>
      </c>
      <c r="I70" s="17" t="s">
        <v>52</v>
      </c>
      <c r="J70" s="224">
        <f t="shared" ref="J70:K70" si="28">J$62</f>
        <v>0</v>
      </c>
      <c r="K70" s="224">
        <f t="shared" si="28"/>
        <v>0</v>
      </c>
      <c r="L70" s="86">
        <f t="shared" si="24"/>
        <v>0</v>
      </c>
      <c r="M70" s="39">
        <f t="shared" si="25"/>
        <v>0</v>
      </c>
      <c r="N70" s="29"/>
    </row>
    <row r="71" spans="1:16" s="8" customFormat="1" x14ac:dyDescent="0.2">
      <c r="A71" s="28">
        <f>IF(F71&lt;&gt;"",1+MAX('SITE CONCRETE'!$A$6:A70),"")</f>
        <v>43</v>
      </c>
      <c r="B71" s="35" t="s">
        <v>45</v>
      </c>
      <c r="C71" s="36" t="s">
        <v>57</v>
      </c>
      <c r="D71" s="6"/>
      <c r="E71" s="37" t="s">
        <v>129</v>
      </c>
      <c r="F71" s="38">
        <f>0.16*F68</f>
        <v>216.27647999999999</v>
      </c>
      <c r="G71" s="51">
        <v>7.0000000000000007E-2</v>
      </c>
      <c r="H71" s="16">
        <f t="shared" si="23"/>
        <v>231.41583360000001</v>
      </c>
      <c r="I71" s="17" t="s">
        <v>53</v>
      </c>
      <c r="J71" s="224">
        <f t="shared" ref="J71:K71" si="29">J$32</f>
        <v>0</v>
      </c>
      <c r="K71" s="224">
        <f t="shared" si="29"/>
        <v>0</v>
      </c>
      <c r="L71" s="86">
        <f t="shared" si="24"/>
        <v>0</v>
      </c>
      <c r="M71" s="39">
        <f t="shared" si="25"/>
        <v>0</v>
      </c>
      <c r="N71" s="29"/>
    </row>
    <row r="72" spans="1:16" s="8" customFormat="1" x14ac:dyDescent="0.2">
      <c r="A72" s="28">
        <f>IF(F72&lt;&gt;"",1+MAX('SITE CONCRETE'!$A$6:A71),"")</f>
        <v>44</v>
      </c>
      <c r="B72" s="35" t="s">
        <v>45</v>
      </c>
      <c r="C72" s="36" t="s">
        <v>57</v>
      </c>
      <c r="D72" s="6"/>
      <c r="E72" s="37" t="s">
        <v>130</v>
      </c>
      <c r="F72" s="38">
        <f>F67</f>
        <v>100</v>
      </c>
      <c r="G72" s="51">
        <v>7.0000000000000007E-2</v>
      </c>
      <c r="H72" s="16">
        <f t="shared" si="23"/>
        <v>107</v>
      </c>
      <c r="I72" s="17" t="s">
        <v>53</v>
      </c>
      <c r="J72" s="224">
        <f t="shared" ref="J72:K72" si="30">J$33</f>
        <v>0</v>
      </c>
      <c r="K72" s="224">
        <f t="shared" si="30"/>
        <v>0</v>
      </c>
      <c r="L72" s="86">
        <f t="shared" si="24"/>
        <v>0</v>
      </c>
      <c r="M72" s="39">
        <f t="shared" si="25"/>
        <v>0</v>
      </c>
      <c r="N72" s="29"/>
    </row>
    <row r="73" spans="1:16" s="8" customFormat="1" x14ac:dyDescent="0.2">
      <c r="A73" s="28">
        <f>IF(F73&lt;&gt;"",1+MAX('SITE CONCRETE'!$A$6:A72),"")</f>
        <v>45</v>
      </c>
      <c r="B73" s="35" t="s">
        <v>45</v>
      </c>
      <c r="C73" s="36" t="s">
        <v>57</v>
      </c>
      <c r="D73" s="6"/>
      <c r="E73" s="37" t="s">
        <v>70</v>
      </c>
      <c r="F73" s="38">
        <f>2*4*0.668*1.2*2</f>
        <v>12.8256</v>
      </c>
      <c r="G73" s="51">
        <v>7.0000000000000007E-2</v>
      </c>
      <c r="H73" s="16">
        <f t="shared" si="23"/>
        <v>13.723392</v>
      </c>
      <c r="I73" s="17" t="s">
        <v>18</v>
      </c>
      <c r="J73" s="224">
        <f t="shared" ref="J73:K73" si="31">J$41</f>
        <v>0</v>
      </c>
      <c r="K73" s="224">
        <f t="shared" si="31"/>
        <v>0</v>
      </c>
      <c r="L73" s="86">
        <f t="shared" si="24"/>
        <v>0</v>
      </c>
      <c r="M73" s="39">
        <f t="shared" si="25"/>
        <v>0</v>
      </c>
      <c r="N73" s="29"/>
    </row>
    <row r="74" spans="1:16" s="8" customFormat="1" ht="16.5" thickBot="1" x14ac:dyDescent="0.25">
      <c r="A74" s="28" t="str">
        <f>IF(F74&lt;&gt;"",1+MAX('SITE CONCRETE'!$A$6:A73),"")</f>
        <v/>
      </c>
      <c r="B74" s="35"/>
      <c r="C74" s="36"/>
      <c r="D74" s="6"/>
      <c r="E74" s="141"/>
      <c r="F74" s="14"/>
      <c r="G74" s="51"/>
      <c r="H74" s="52"/>
      <c r="I74" s="53"/>
      <c r="J74" s="50"/>
      <c r="K74" s="50"/>
      <c r="L74" s="85"/>
      <c r="M74" s="39"/>
      <c r="N74" s="29"/>
    </row>
    <row r="75" spans="1:16" s="8" customFormat="1" ht="16.5" thickBot="1" x14ac:dyDescent="0.25">
      <c r="A75" s="28" t="str">
        <f>IF(F75&lt;&gt;"",1+MAX('SITE CONCRETE'!$A$6:A74),"")</f>
        <v/>
      </c>
      <c r="B75" s="35"/>
      <c r="C75" s="54"/>
      <c r="D75" s="31"/>
      <c r="E75" s="225" t="s">
        <v>81</v>
      </c>
      <c r="F75" s="226"/>
      <c r="G75" s="32"/>
      <c r="H75" s="33"/>
      <c r="I75" s="34"/>
      <c r="J75" s="103"/>
      <c r="K75" s="103"/>
      <c r="L75" s="104"/>
      <c r="M75" s="105"/>
      <c r="N75" s="29"/>
    </row>
    <row r="76" spans="1:16" s="8" customFormat="1" ht="48" thickBot="1" x14ac:dyDescent="0.25">
      <c r="A76" s="28" t="str">
        <f>IF(F76&lt;&gt;"",1+MAX('SITE CONCRETE'!$A$6:A75),"")</f>
        <v/>
      </c>
      <c r="B76" s="35"/>
      <c r="C76" s="36"/>
      <c r="D76" s="36"/>
      <c r="E76" s="44" t="s">
        <v>138</v>
      </c>
      <c r="F76" s="140"/>
      <c r="G76" s="45"/>
      <c r="H76" s="16"/>
      <c r="I76" s="17"/>
      <c r="J76" s="46"/>
      <c r="K76" s="46"/>
      <c r="L76" s="83"/>
      <c r="M76" s="47"/>
      <c r="N76" s="29"/>
    </row>
    <row r="77" spans="1:16" s="8" customFormat="1" x14ac:dyDescent="0.2">
      <c r="A77" s="28">
        <f>IF(F77&lt;&gt;"",1+MAX('SITE CONCRETE'!$A$6:A76),"")</f>
        <v>46</v>
      </c>
      <c r="B77" s="35" t="s">
        <v>50</v>
      </c>
      <c r="C77" s="36" t="s">
        <v>82</v>
      </c>
      <c r="D77" s="6"/>
      <c r="E77" s="48" t="s">
        <v>113</v>
      </c>
      <c r="F77" s="38">
        <f>3.14*1.5*1.5*0.25*4*103/27</f>
        <v>26.951666666666664</v>
      </c>
      <c r="G77" s="49">
        <v>7.0000000000000007E-2</v>
      </c>
      <c r="H77" s="16">
        <f>F77*(1+G77)</f>
        <v>28.838283333333333</v>
      </c>
      <c r="I77" s="17" t="s">
        <v>17</v>
      </c>
      <c r="J77" s="224">
        <f t="shared" ref="J77:K77" si="32">J$10</f>
        <v>0</v>
      </c>
      <c r="K77" s="224">
        <f t="shared" si="32"/>
        <v>0</v>
      </c>
      <c r="L77" s="86">
        <f>J77+K77</f>
        <v>0</v>
      </c>
      <c r="M77" s="39">
        <f>L77*H77</f>
        <v>0</v>
      </c>
      <c r="N77" s="29"/>
      <c r="O77" s="81"/>
      <c r="P77" s="81"/>
    </row>
    <row r="78" spans="1:16" s="8" customFormat="1" x14ac:dyDescent="0.2">
      <c r="A78" s="28">
        <f>IF(F78&lt;&gt;"",1+MAX('SITE CONCRETE'!$A$6:A77),"")</f>
        <v>47</v>
      </c>
      <c r="B78" s="35" t="s">
        <v>50</v>
      </c>
      <c r="C78" s="36" t="s">
        <v>82</v>
      </c>
      <c r="D78" s="6"/>
      <c r="E78" s="37" t="s">
        <v>143</v>
      </c>
      <c r="F78" s="38">
        <f>3.14*1.5*4*103</f>
        <v>1940.52</v>
      </c>
      <c r="G78" s="51">
        <v>7.0000000000000007E-2</v>
      </c>
      <c r="H78" s="16">
        <f>F78*(1+G78)</f>
        <v>2076.3564000000001</v>
      </c>
      <c r="I78" s="17" t="s">
        <v>19</v>
      </c>
      <c r="J78" s="224">
        <f>J$11</f>
        <v>0</v>
      </c>
      <c r="K78" s="224">
        <f>K$11</f>
        <v>0</v>
      </c>
      <c r="L78" s="86">
        <f>J78+K78</f>
        <v>0</v>
      </c>
      <c r="M78" s="39">
        <f>L78*H78</f>
        <v>0</v>
      </c>
      <c r="N78" s="29"/>
      <c r="O78" s="72"/>
    </row>
    <row r="79" spans="1:16" s="8" customFormat="1" x14ac:dyDescent="0.2">
      <c r="A79" s="28">
        <f>IF(F79&lt;&gt;"",1+MAX('SITE CONCRETE'!$A$6:A78),"")</f>
        <v>48</v>
      </c>
      <c r="B79" s="35" t="s">
        <v>50</v>
      </c>
      <c r="C79" s="36" t="s">
        <v>82</v>
      </c>
      <c r="D79" s="6"/>
      <c r="E79" s="37" t="s">
        <v>153</v>
      </c>
      <c r="F79" s="38">
        <f>3.14*2.5*2.5*0.25*4.5*103/27</f>
        <v>84.223958333333329</v>
      </c>
      <c r="G79" s="51">
        <v>7.0000000000000007E-2</v>
      </c>
      <c r="H79" s="16">
        <f>F79*(1+G79)</f>
        <v>90.119635416666668</v>
      </c>
      <c r="I79" s="17" t="s">
        <v>17</v>
      </c>
      <c r="J79" s="224">
        <f>J$12</f>
        <v>0</v>
      </c>
      <c r="K79" s="224">
        <f>K$12</f>
        <v>0</v>
      </c>
      <c r="L79" s="86">
        <f>J79+K79</f>
        <v>0</v>
      </c>
      <c r="M79" s="39">
        <f>L79*H79</f>
        <v>0</v>
      </c>
      <c r="N79" s="29"/>
      <c r="O79" s="72"/>
    </row>
    <row r="80" spans="1:16" s="8" customFormat="1" x14ac:dyDescent="0.2">
      <c r="A80" s="28">
        <f>IF(F80&lt;&gt;"",1+MAX('SITE CONCRETE'!$A$6:A79),"")</f>
        <v>49</v>
      </c>
      <c r="B80" s="35" t="s">
        <v>50</v>
      </c>
      <c r="C80" s="36" t="s">
        <v>82</v>
      </c>
      <c r="D80" s="6"/>
      <c r="E80" s="37" t="s">
        <v>20</v>
      </c>
      <c r="F80" s="38">
        <f>F79-F81-F77</f>
        <v>47.914074074074065</v>
      </c>
      <c r="G80" s="51">
        <v>7.0000000000000007E-2</v>
      </c>
      <c r="H80" s="16">
        <f>F80*(1+G80)</f>
        <v>51.268059259259253</v>
      </c>
      <c r="I80" s="17" t="s">
        <v>17</v>
      </c>
      <c r="J80" s="224">
        <f t="shared" ref="J80:K80" si="33">J$13</f>
        <v>0</v>
      </c>
      <c r="K80" s="224">
        <f t="shared" si="33"/>
        <v>0</v>
      </c>
      <c r="L80" s="86">
        <f>J80+K80</f>
        <v>0</v>
      </c>
      <c r="M80" s="39">
        <f>L80*H80</f>
        <v>0</v>
      </c>
      <c r="N80" s="29"/>
    </row>
    <row r="81" spans="1:16" s="8" customFormat="1" x14ac:dyDescent="0.2">
      <c r="A81" s="28">
        <f>IF(F81&lt;&gt;"",1+MAX('SITE CONCRETE'!$A$6:A80),"")</f>
        <v>50</v>
      </c>
      <c r="B81" s="35" t="s">
        <v>50</v>
      </c>
      <c r="C81" s="36" t="s">
        <v>82</v>
      </c>
      <c r="D81" s="6"/>
      <c r="E81" s="37" t="s">
        <v>83</v>
      </c>
      <c r="F81" s="38">
        <f>3.14*2.5*2.5*0.25*0.5*103/27</f>
        <v>9.3582175925925934</v>
      </c>
      <c r="G81" s="51">
        <v>7.0000000000000007E-2</v>
      </c>
      <c r="H81" s="16">
        <f>F81*(1+G81)</f>
        <v>10.013292824074076</v>
      </c>
      <c r="I81" s="17" t="s">
        <v>17</v>
      </c>
      <c r="J81" s="224">
        <f t="shared" ref="J81:K81" si="34">J$61</f>
        <v>0</v>
      </c>
      <c r="K81" s="224">
        <f t="shared" si="34"/>
        <v>0</v>
      </c>
      <c r="L81" s="86">
        <f>J81+K81</f>
        <v>0</v>
      </c>
      <c r="M81" s="39">
        <f>L81*H81</f>
        <v>0</v>
      </c>
      <c r="N81" s="29"/>
    </row>
    <row r="82" spans="1:16" s="8" customFormat="1" ht="16.5" thickBot="1" x14ac:dyDescent="0.25">
      <c r="A82" s="28" t="str">
        <f>IF(F82&lt;&gt;"",1+MAX('SITE CONCRETE'!$A$6:A81),"")</f>
        <v/>
      </c>
      <c r="B82" s="35"/>
      <c r="C82" s="36"/>
      <c r="D82" s="6"/>
      <c r="E82" s="141"/>
      <c r="F82" s="14"/>
      <c r="G82" s="51"/>
      <c r="H82" s="52"/>
      <c r="I82" s="53"/>
      <c r="J82" s="50"/>
      <c r="K82" s="50"/>
      <c r="L82" s="85"/>
      <c r="M82" s="39"/>
      <c r="N82" s="29"/>
    </row>
    <row r="83" spans="1:16" s="8" customFormat="1" ht="16.5" thickBot="1" x14ac:dyDescent="0.25">
      <c r="A83" s="28" t="str">
        <f>IF(F83&lt;&gt;"",1+MAX('SITE CONCRETE'!$A$6:A82),"")</f>
        <v/>
      </c>
      <c r="B83" s="35"/>
      <c r="C83" s="54"/>
      <c r="D83" s="31"/>
      <c r="E83" s="225" t="s">
        <v>84</v>
      </c>
      <c r="F83" s="226"/>
      <c r="G83" s="32"/>
      <c r="H83" s="33"/>
      <c r="I83" s="34"/>
      <c r="J83" s="103"/>
      <c r="K83" s="103"/>
      <c r="L83" s="104"/>
      <c r="M83" s="105"/>
      <c r="N83" s="29"/>
    </row>
    <row r="84" spans="1:16" s="8" customFormat="1" ht="79.5" thickBot="1" x14ac:dyDescent="0.25">
      <c r="A84" s="28" t="str">
        <f>IF(F84&lt;&gt;"",1+MAX('SITE CONCRETE'!$A$6:A83),"")</f>
        <v/>
      </c>
      <c r="B84" s="35"/>
      <c r="C84" s="36"/>
      <c r="D84" s="36"/>
      <c r="E84" s="44" t="s">
        <v>139</v>
      </c>
      <c r="F84" s="140"/>
      <c r="G84" s="45"/>
      <c r="H84" s="16"/>
      <c r="I84" s="17"/>
      <c r="J84" s="46"/>
      <c r="K84" s="46"/>
      <c r="L84" s="83"/>
      <c r="M84" s="47"/>
      <c r="N84" s="29"/>
    </row>
    <row r="85" spans="1:16" s="8" customFormat="1" x14ac:dyDescent="0.2">
      <c r="A85" s="28">
        <f>IF(F85&lt;&gt;"",1+MAX('SITE CONCRETE'!$A$6:A84),"")</f>
        <v>51</v>
      </c>
      <c r="B85" s="35" t="s">
        <v>85</v>
      </c>
      <c r="C85" s="36" t="s">
        <v>47</v>
      </c>
      <c r="D85" s="6"/>
      <c r="E85" s="48" t="s">
        <v>113</v>
      </c>
      <c r="F85" s="38">
        <f>7.5*7.5*2*16/27</f>
        <v>66.666666666666671</v>
      </c>
      <c r="G85" s="49">
        <v>7.0000000000000007E-2</v>
      </c>
      <c r="H85" s="16">
        <f t="shared" ref="H85:H90" si="35">F85*(1+G85)</f>
        <v>71.333333333333343</v>
      </c>
      <c r="I85" s="17" t="s">
        <v>17</v>
      </c>
      <c r="J85" s="224">
        <f t="shared" ref="J85:K85" si="36">J$10</f>
        <v>0</v>
      </c>
      <c r="K85" s="224">
        <f t="shared" si="36"/>
        <v>0</v>
      </c>
      <c r="L85" s="86">
        <f t="shared" ref="L85:L90" si="37">J85+K85</f>
        <v>0</v>
      </c>
      <c r="M85" s="39">
        <f t="shared" ref="M85:M90" si="38">L85*H85</f>
        <v>0</v>
      </c>
      <c r="N85" s="29"/>
      <c r="O85" s="81"/>
      <c r="P85" s="81"/>
    </row>
    <row r="86" spans="1:16" s="8" customFormat="1" x14ac:dyDescent="0.2">
      <c r="A86" s="28">
        <f>IF(F86&lt;&gt;"",1+MAX('SITE CONCRETE'!$A$6:A85),"")</f>
        <v>52</v>
      </c>
      <c r="B86" s="35" t="s">
        <v>85</v>
      </c>
      <c r="C86" s="36" t="s">
        <v>47</v>
      </c>
      <c r="D86" s="6"/>
      <c r="E86" s="37" t="s">
        <v>86</v>
      </c>
      <c r="F86" s="38">
        <f>8*7.5*2.67*1.2*2*2*16</f>
        <v>12303.359999999999</v>
      </c>
      <c r="G86" s="49">
        <v>7.0000000000000007E-2</v>
      </c>
      <c r="H86" s="16">
        <f t="shared" si="35"/>
        <v>13164.5952</v>
      </c>
      <c r="I86" s="17" t="s">
        <v>18</v>
      </c>
      <c r="J86" s="224">
        <f t="shared" ref="J86:K86" si="39">J$41</f>
        <v>0</v>
      </c>
      <c r="K86" s="224">
        <f t="shared" si="39"/>
        <v>0</v>
      </c>
      <c r="L86" s="86">
        <f t="shared" si="37"/>
        <v>0</v>
      </c>
      <c r="M86" s="39">
        <f t="shared" si="38"/>
        <v>0</v>
      </c>
      <c r="N86" s="29"/>
      <c r="O86" s="72"/>
    </row>
    <row r="87" spans="1:16" s="8" customFormat="1" x14ac:dyDescent="0.2">
      <c r="A87" s="28">
        <f>IF(F87&lt;&gt;"",1+MAX('SITE CONCRETE'!$A$6:A86),"")</f>
        <v>53</v>
      </c>
      <c r="B87" s="35" t="s">
        <v>85</v>
      </c>
      <c r="C87" s="36" t="s">
        <v>47</v>
      </c>
      <c r="D87" s="6"/>
      <c r="E87" s="37" t="s">
        <v>119</v>
      </c>
      <c r="F87" s="38">
        <f>4*7.5*2*16</f>
        <v>960</v>
      </c>
      <c r="G87" s="51">
        <v>7.0000000000000007E-2</v>
      </c>
      <c r="H87" s="16">
        <f t="shared" si="35"/>
        <v>1027.2</v>
      </c>
      <c r="I87" s="17" t="s">
        <v>19</v>
      </c>
      <c r="J87" s="66">
        <v>0</v>
      </c>
      <c r="K87" s="66">
        <v>0</v>
      </c>
      <c r="L87" s="86">
        <f t="shared" si="37"/>
        <v>0</v>
      </c>
      <c r="M87" s="39">
        <f t="shared" si="38"/>
        <v>0</v>
      </c>
      <c r="N87" s="29"/>
      <c r="O87" s="72"/>
    </row>
    <row r="88" spans="1:16" s="8" customFormat="1" x14ac:dyDescent="0.2">
      <c r="A88" s="28">
        <f>IF(F88&lt;&gt;"",1+MAX('SITE CONCRETE'!$A$6:A87),"")</f>
        <v>54</v>
      </c>
      <c r="B88" s="35" t="s">
        <v>85</v>
      </c>
      <c r="C88" s="36" t="s">
        <v>47</v>
      </c>
      <c r="D88" s="6"/>
      <c r="E88" s="37" t="s">
        <v>153</v>
      </c>
      <c r="F88" s="38">
        <f>8.5*8.5*4.5*16/27</f>
        <v>192.66666666666666</v>
      </c>
      <c r="G88" s="51">
        <v>7.0000000000000007E-2</v>
      </c>
      <c r="H88" s="16">
        <f t="shared" si="35"/>
        <v>206.15333333333334</v>
      </c>
      <c r="I88" s="17" t="s">
        <v>17</v>
      </c>
      <c r="J88" s="224">
        <f>J$12</f>
        <v>0</v>
      </c>
      <c r="K88" s="224">
        <f>K$12</f>
        <v>0</v>
      </c>
      <c r="L88" s="86">
        <f t="shared" si="37"/>
        <v>0</v>
      </c>
      <c r="M88" s="39">
        <f t="shared" si="38"/>
        <v>0</v>
      </c>
      <c r="N88" s="29"/>
      <c r="O88" s="72"/>
    </row>
    <row r="89" spans="1:16" s="8" customFormat="1" x14ac:dyDescent="0.2">
      <c r="A89" s="28">
        <f>IF(F89&lt;&gt;"",1+MAX('SITE CONCRETE'!$A$6:A88),"")</f>
        <v>55</v>
      </c>
      <c r="B89" s="35" t="s">
        <v>85</v>
      </c>
      <c r="C89" s="36" t="s">
        <v>47</v>
      </c>
      <c r="D89" s="6"/>
      <c r="E89" s="37" t="s">
        <v>20</v>
      </c>
      <c r="F89" s="38">
        <f>F88-F85</f>
        <v>125.99999999999999</v>
      </c>
      <c r="G89" s="51">
        <v>7.0000000000000007E-2</v>
      </c>
      <c r="H89" s="16">
        <f t="shared" si="35"/>
        <v>134.82</v>
      </c>
      <c r="I89" s="17" t="s">
        <v>17</v>
      </c>
      <c r="J89" s="224">
        <f t="shared" ref="J89:K89" si="40">J$13</f>
        <v>0</v>
      </c>
      <c r="K89" s="224">
        <f t="shared" si="40"/>
        <v>0</v>
      </c>
      <c r="L89" s="86">
        <f t="shared" si="37"/>
        <v>0</v>
      </c>
      <c r="M89" s="39">
        <f t="shared" si="38"/>
        <v>0</v>
      </c>
      <c r="N89" s="29"/>
    </row>
    <row r="90" spans="1:16" s="8" customFormat="1" x14ac:dyDescent="0.2">
      <c r="A90" s="28">
        <f>IF(F90&lt;&gt;"",1+MAX('SITE CONCRETE'!$A$6:A89),"")</f>
        <v>56</v>
      </c>
      <c r="B90" s="35" t="s">
        <v>85</v>
      </c>
      <c r="C90" s="36" t="s">
        <v>47</v>
      </c>
      <c r="D90" s="6"/>
      <c r="E90" s="37" t="s">
        <v>59</v>
      </c>
      <c r="F90" s="38">
        <v>16</v>
      </c>
      <c r="G90" s="51">
        <v>0</v>
      </c>
      <c r="H90" s="16">
        <f t="shared" si="35"/>
        <v>16</v>
      </c>
      <c r="I90" s="17" t="s">
        <v>60</v>
      </c>
      <c r="J90" s="66">
        <v>0</v>
      </c>
      <c r="K90" s="66">
        <v>0</v>
      </c>
      <c r="L90" s="86">
        <f t="shared" si="37"/>
        <v>0</v>
      </c>
      <c r="M90" s="39">
        <f t="shared" si="38"/>
        <v>0</v>
      </c>
      <c r="N90" s="29"/>
    </row>
    <row r="91" spans="1:16" s="8" customFormat="1" ht="16.5" thickBot="1" x14ac:dyDescent="0.25">
      <c r="A91" s="28" t="str">
        <f>IF(F91&lt;&gt;"",1+MAX('SITE CONCRETE'!$A$6:A90),"")</f>
        <v/>
      </c>
      <c r="B91" s="35"/>
      <c r="C91" s="36"/>
      <c r="D91" s="6"/>
      <c r="E91" s="141"/>
      <c r="F91" s="14"/>
      <c r="G91" s="51"/>
      <c r="H91" s="52"/>
      <c r="I91" s="53"/>
      <c r="J91" s="50"/>
      <c r="K91" s="50"/>
      <c r="L91" s="85"/>
      <c r="M91" s="39"/>
      <c r="N91" s="29"/>
    </row>
    <row r="92" spans="1:16" s="8" customFormat="1" ht="16.5" thickBot="1" x14ac:dyDescent="0.25">
      <c r="A92" s="28" t="str">
        <f>IF(F92&lt;&gt;"",1+MAX('SITE CONCRETE'!$A$6:A91),"")</f>
        <v/>
      </c>
      <c r="B92" s="35"/>
      <c r="C92" s="54"/>
      <c r="D92" s="31"/>
      <c r="E92" s="225" t="s">
        <v>87</v>
      </c>
      <c r="F92" s="226"/>
      <c r="G92" s="32"/>
      <c r="H92" s="33"/>
      <c r="I92" s="34"/>
      <c r="J92" s="103"/>
      <c r="K92" s="103"/>
      <c r="L92" s="104"/>
      <c r="M92" s="105"/>
      <c r="N92" s="29"/>
    </row>
    <row r="93" spans="1:16" s="8" customFormat="1" ht="79.5" thickBot="1" x14ac:dyDescent="0.25">
      <c r="A93" s="28" t="str">
        <f>IF(F93&lt;&gt;"",1+MAX('SITE CONCRETE'!$A$6:A92),"")</f>
        <v/>
      </c>
      <c r="B93" s="35"/>
      <c r="C93" s="36"/>
      <c r="D93" s="36"/>
      <c r="E93" s="44" t="s">
        <v>140</v>
      </c>
      <c r="F93" s="140"/>
      <c r="G93" s="45"/>
      <c r="H93" s="16"/>
      <c r="I93" s="17"/>
      <c r="J93" s="46"/>
      <c r="K93" s="46"/>
      <c r="L93" s="83"/>
      <c r="M93" s="47"/>
      <c r="N93" s="29"/>
    </row>
    <row r="94" spans="1:16" s="8" customFormat="1" x14ac:dyDescent="0.2">
      <c r="A94" s="28">
        <f>IF(F94&lt;&gt;"",1+MAX('SITE CONCRETE'!$A$6:A93),"")</f>
        <v>57</v>
      </c>
      <c r="B94" s="35" t="s">
        <v>85</v>
      </c>
      <c r="C94" s="36" t="s">
        <v>47</v>
      </c>
      <c r="D94" s="6"/>
      <c r="E94" s="48" t="s">
        <v>113</v>
      </c>
      <c r="F94" s="38">
        <f>2.67*2.67*2.5*16/27</f>
        <v>10.561333333333334</v>
      </c>
      <c r="G94" s="49">
        <v>7.0000000000000007E-2</v>
      </c>
      <c r="H94" s="16">
        <f>F94*(1+G94)</f>
        <v>11.300626666666668</v>
      </c>
      <c r="I94" s="17" t="s">
        <v>17</v>
      </c>
      <c r="J94" s="224">
        <f t="shared" ref="J94:K94" si="41">J$10</f>
        <v>0</v>
      </c>
      <c r="K94" s="224">
        <f t="shared" si="41"/>
        <v>0</v>
      </c>
      <c r="L94" s="86">
        <f>J94+K94</f>
        <v>0</v>
      </c>
      <c r="M94" s="39">
        <f>L94*H94</f>
        <v>0</v>
      </c>
      <c r="N94" s="29"/>
      <c r="O94" s="81"/>
      <c r="P94" s="81"/>
    </row>
    <row r="95" spans="1:16" s="8" customFormat="1" x14ac:dyDescent="0.2">
      <c r="A95" s="28">
        <f>IF(F95&lt;&gt;"",1+MAX('SITE CONCRETE'!$A$6:A94),"")</f>
        <v>58</v>
      </c>
      <c r="B95" s="35" t="s">
        <v>85</v>
      </c>
      <c r="C95" s="36" t="s">
        <v>47</v>
      </c>
      <c r="D95" s="6"/>
      <c r="E95" s="37" t="s">
        <v>88</v>
      </c>
      <c r="F95" s="38">
        <f>12*4.5*1.5*1.2*16</f>
        <v>1555.2</v>
      </c>
      <c r="G95" s="49">
        <v>7.0000000000000007E-2</v>
      </c>
      <c r="H95" s="16">
        <f>F95*(1+G95)</f>
        <v>1664.0640000000001</v>
      </c>
      <c r="I95" s="17" t="s">
        <v>18</v>
      </c>
      <c r="J95" s="224">
        <f t="shared" ref="J95:K96" si="42">J$41</f>
        <v>0</v>
      </c>
      <c r="K95" s="224">
        <f t="shared" si="42"/>
        <v>0</v>
      </c>
      <c r="L95" s="86">
        <f>J95+K95</f>
        <v>0</v>
      </c>
      <c r="M95" s="39">
        <f>L95*H95</f>
        <v>0</v>
      </c>
      <c r="N95" s="29"/>
      <c r="O95" s="72"/>
    </row>
    <row r="96" spans="1:16" s="8" customFormat="1" x14ac:dyDescent="0.2">
      <c r="A96" s="28">
        <f>IF(F96&lt;&gt;"",1+MAX('SITE CONCRETE'!$A$6:A95),"")</f>
        <v>59</v>
      </c>
      <c r="B96" s="35" t="s">
        <v>85</v>
      </c>
      <c r="C96" s="36" t="s">
        <v>47</v>
      </c>
      <c r="D96" s="6"/>
      <c r="E96" s="37" t="s">
        <v>151</v>
      </c>
      <c r="F96" s="38">
        <f>5*(8*2.67+0.5*4)*0.668*1.2*16</f>
        <v>1498.03008</v>
      </c>
      <c r="G96" s="49">
        <v>7.0000000000000007E-2</v>
      </c>
      <c r="H96" s="16">
        <f>F96*(1+G96)</f>
        <v>1602.8921856000002</v>
      </c>
      <c r="I96" s="17" t="s">
        <v>18</v>
      </c>
      <c r="J96" s="224">
        <f t="shared" si="42"/>
        <v>0</v>
      </c>
      <c r="K96" s="224">
        <f t="shared" si="42"/>
        <v>0</v>
      </c>
      <c r="L96" s="86">
        <f>J96+K96</f>
        <v>0</v>
      </c>
      <c r="M96" s="39">
        <f>L96*H96</f>
        <v>0</v>
      </c>
      <c r="N96" s="29"/>
      <c r="O96" s="72"/>
    </row>
    <row r="97" spans="1:16" s="8" customFormat="1" x14ac:dyDescent="0.2">
      <c r="A97" s="28">
        <f>IF(F97&lt;&gt;"",1+MAX('SITE CONCRETE'!$A$6:A96),"")</f>
        <v>60</v>
      </c>
      <c r="B97" s="35" t="s">
        <v>85</v>
      </c>
      <c r="C97" s="36" t="s">
        <v>47</v>
      </c>
      <c r="D97" s="6"/>
      <c r="E97" s="37" t="s">
        <v>120</v>
      </c>
      <c r="F97" s="38">
        <f>4*2.67*2.5*16</f>
        <v>427.2</v>
      </c>
      <c r="G97" s="51">
        <v>7.0000000000000007E-2</v>
      </c>
      <c r="H97" s="16">
        <f>F97*(1+G97)</f>
        <v>457.10400000000004</v>
      </c>
      <c r="I97" s="17" t="s">
        <v>19</v>
      </c>
      <c r="J97" s="66">
        <v>0</v>
      </c>
      <c r="K97" s="66">
        <v>0</v>
      </c>
      <c r="L97" s="86">
        <f>J97+K97</f>
        <v>0</v>
      </c>
      <c r="M97" s="39">
        <f>L97*H97</f>
        <v>0</v>
      </c>
      <c r="N97" s="29"/>
      <c r="O97" s="72"/>
    </row>
    <row r="98" spans="1:16" s="8" customFormat="1" ht="16.5" thickBot="1" x14ac:dyDescent="0.25">
      <c r="A98" s="28" t="str">
        <f>IF(F98&lt;&gt;"",1+MAX('SITE CONCRETE'!$A$6:A97),"")</f>
        <v/>
      </c>
      <c r="B98" s="35"/>
      <c r="C98" s="36"/>
      <c r="D98" s="6"/>
      <c r="E98" s="141"/>
      <c r="F98" s="14"/>
      <c r="G98" s="51"/>
      <c r="H98" s="52"/>
      <c r="I98" s="53"/>
      <c r="J98" s="50"/>
      <c r="K98" s="50"/>
      <c r="L98" s="85"/>
      <c r="M98" s="39"/>
      <c r="N98" s="29"/>
    </row>
    <row r="99" spans="1:16" s="8" customFormat="1" ht="16.5" thickBot="1" x14ac:dyDescent="0.25">
      <c r="A99" s="28" t="str">
        <f>IF(F99&lt;&gt;"",1+MAX('SITE CONCRETE'!$A$6:A98),"")</f>
        <v/>
      </c>
      <c r="B99" s="35"/>
      <c r="C99" s="54"/>
      <c r="D99" s="31"/>
      <c r="E99" s="225" t="s">
        <v>89</v>
      </c>
      <c r="F99" s="226"/>
      <c r="G99" s="32"/>
      <c r="H99" s="33"/>
      <c r="I99" s="34"/>
      <c r="J99" s="103"/>
      <c r="K99" s="103"/>
      <c r="L99" s="104"/>
      <c r="M99" s="105"/>
      <c r="N99" s="29"/>
    </row>
    <row r="100" spans="1:16" s="8" customFormat="1" ht="48" thickBot="1" x14ac:dyDescent="0.25">
      <c r="A100" s="28" t="str">
        <f>IF(F100&lt;&gt;"",1+MAX('SITE CONCRETE'!$A$6:A99),"")</f>
        <v/>
      </c>
      <c r="B100" s="35"/>
      <c r="C100" s="36"/>
      <c r="D100" s="36"/>
      <c r="E100" s="44" t="s">
        <v>141</v>
      </c>
      <c r="F100" s="140"/>
      <c r="G100" s="45"/>
      <c r="H100" s="16"/>
      <c r="I100" s="17"/>
      <c r="J100" s="46"/>
      <c r="K100" s="46"/>
      <c r="L100" s="83"/>
      <c r="M100" s="47"/>
      <c r="N100" s="29"/>
    </row>
    <row r="101" spans="1:16" s="8" customFormat="1" x14ac:dyDescent="0.2">
      <c r="A101" s="28">
        <f>IF(F101&lt;&gt;"",1+MAX('SITE CONCRETE'!$A$6:A100),"")</f>
        <v>61</v>
      </c>
      <c r="B101" s="35" t="s">
        <v>91</v>
      </c>
      <c r="C101" s="36" t="s">
        <v>82</v>
      </c>
      <c r="D101" s="6"/>
      <c r="E101" s="48" t="s">
        <v>113</v>
      </c>
      <c r="F101" s="38">
        <f>3.14*2*2*0.25*5.5*16/27</f>
        <v>10.234074074074075</v>
      </c>
      <c r="G101" s="49">
        <v>7.0000000000000007E-2</v>
      </c>
      <c r="H101" s="16">
        <f>F101*(1+G101)</f>
        <v>10.95045925925926</v>
      </c>
      <c r="I101" s="17" t="s">
        <v>17</v>
      </c>
      <c r="J101" s="224">
        <f t="shared" ref="J101:K101" si="43">J$10</f>
        <v>0</v>
      </c>
      <c r="K101" s="224">
        <f t="shared" si="43"/>
        <v>0</v>
      </c>
      <c r="L101" s="86">
        <f>J101+K101</f>
        <v>0</v>
      </c>
      <c r="M101" s="39">
        <f>L101*H101</f>
        <v>0</v>
      </c>
      <c r="N101" s="29"/>
      <c r="O101" s="81"/>
      <c r="P101" s="81"/>
    </row>
    <row r="102" spans="1:16" s="8" customFormat="1" x14ac:dyDescent="0.2">
      <c r="A102" s="28">
        <f>IF(F102&lt;&gt;"",1+MAX('SITE CONCRETE'!$A$6:A101),"")</f>
        <v>62</v>
      </c>
      <c r="B102" s="35" t="s">
        <v>91</v>
      </c>
      <c r="C102" s="36" t="s">
        <v>82</v>
      </c>
      <c r="D102" s="6"/>
      <c r="E102" s="37" t="s">
        <v>156</v>
      </c>
      <c r="F102" s="38">
        <f>6*4.5*1.5*1.2*16</f>
        <v>777.6</v>
      </c>
      <c r="G102" s="49">
        <v>7.0000000000000007E-2</v>
      </c>
      <c r="H102" s="16">
        <f>F102*(1+G102)</f>
        <v>832.03200000000004</v>
      </c>
      <c r="I102" s="17" t="s">
        <v>18</v>
      </c>
      <c r="J102" s="224">
        <f t="shared" ref="J102:K103" si="44">J$41</f>
        <v>0</v>
      </c>
      <c r="K102" s="224">
        <f t="shared" si="44"/>
        <v>0</v>
      </c>
      <c r="L102" s="86">
        <f>J102+K102</f>
        <v>0</v>
      </c>
      <c r="M102" s="39">
        <f>L102*H102</f>
        <v>0</v>
      </c>
      <c r="N102" s="29"/>
      <c r="O102" s="72"/>
    </row>
    <row r="103" spans="1:16" s="8" customFormat="1" x14ac:dyDescent="0.2">
      <c r="A103" s="28">
        <f>IF(F103&lt;&gt;"",1+MAX('SITE CONCRETE'!$A$6:A102),"")</f>
        <v>63</v>
      </c>
      <c r="B103" s="35" t="s">
        <v>91</v>
      </c>
      <c r="C103" s="36" t="s">
        <v>82</v>
      </c>
      <c r="D103" s="6"/>
      <c r="E103" s="37" t="s">
        <v>116</v>
      </c>
      <c r="F103" s="38">
        <f>5.5/0.5*3.14*2*0.668*1.2*16</f>
        <v>885.99244799999997</v>
      </c>
      <c r="G103" s="49">
        <v>7.0000000000000007E-2</v>
      </c>
      <c r="H103" s="16">
        <f>F103*(1+G103)</f>
        <v>948.01191935999998</v>
      </c>
      <c r="I103" s="17" t="s">
        <v>18</v>
      </c>
      <c r="J103" s="224">
        <f t="shared" si="44"/>
        <v>0</v>
      </c>
      <c r="K103" s="224">
        <f t="shared" si="44"/>
        <v>0</v>
      </c>
      <c r="L103" s="86">
        <f>J103+K103</f>
        <v>0</v>
      </c>
      <c r="M103" s="39">
        <f>L103*H103</f>
        <v>0</v>
      </c>
      <c r="N103" s="29"/>
      <c r="O103" s="72"/>
    </row>
    <row r="104" spans="1:16" s="8" customFormat="1" x14ac:dyDescent="0.2">
      <c r="A104" s="28">
        <f>IF(F104&lt;&gt;"",1+MAX('SITE CONCRETE'!$A$6:A103),"")</f>
        <v>64</v>
      </c>
      <c r="B104" s="35" t="s">
        <v>91</v>
      </c>
      <c r="C104" s="36" t="s">
        <v>82</v>
      </c>
      <c r="D104" s="6"/>
      <c r="E104" s="37" t="s">
        <v>153</v>
      </c>
      <c r="F104" s="38">
        <f>F101</f>
        <v>10.234074074074075</v>
      </c>
      <c r="G104" s="51">
        <v>7.0000000000000007E-2</v>
      </c>
      <c r="H104" s="16">
        <f>F104*(1+G104)</f>
        <v>10.95045925925926</v>
      </c>
      <c r="I104" s="17" t="s">
        <v>17</v>
      </c>
      <c r="J104" s="224">
        <f>J$12</f>
        <v>0</v>
      </c>
      <c r="K104" s="224">
        <f>K$12</f>
        <v>0</v>
      </c>
      <c r="L104" s="86">
        <f>J104+K104</f>
        <v>0</v>
      </c>
      <c r="M104" s="39">
        <f>L104*H104</f>
        <v>0</v>
      </c>
      <c r="N104" s="29"/>
      <c r="O104" s="72"/>
    </row>
    <row r="105" spans="1:16" s="8" customFormat="1" x14ac:dyDescent="0.2">
      <c r="A105" s="28">
        <f>IF(F105&lt;&gt;"",1+MAX('SITE CONCRETE'!$A$6:A104),"")</f>
        <v>65</v>
      </c>
      <c r="B105" s="35" t="s">
        <v>91</v>
      </c>
      <c r="C105" s="36" t="s">
        <v>82</v>
      </c>
      <c r="D105" s="6"/>
      <c r="E105" s="37" t="s">
        <v>90</v>
      </c>
      <c r="F105" s="38">
        <v>16</v>
      </c>
      <c r="G105" s="51">
        <v>0</v>
      </c>
      <c r="H105" s="16">
        <f>F105*(1+G105)</f>
        <v>16</v>
      </c>
      <c r="I105" s="17" t="s">
        <v>60</v>
      </c>
      <c r="J105" s="66">
        <v>0</v>
      </c>
      <c r="K105" s="66">
        <v>0</v>
      </c>
      <c r="L105" s="86">
        <f>J105+K105</f>
        <v>0</v>
      </c>
      <c r="M105" s="39">
        <f>L105*H105</f>
        <v>0</v>
      </c>
      <c r="N105" s="29"/>
    </row>
    <row r="106" spans="1:16" s="8" customFormat="1" ht="16.5" thickBot="1" x14ac:dyDescent="0.25">
      <c r="A106" s="28" t="str">
        <f>IF(F106&lt;&gt;"",1+MAX('SITE CONCRETE'!$A$6:A105),"")</f>
        <v/>
      </c>
      <c r="B106" s="35"/>
      <c r="C106" s="36"/>
      <c r="D106" s="6"/>
      <c r="E106" s="141"/>
      <c r="F106" s="14"/>
      <c r="G106" s="51"/>
      <c r="H106" s="52"/>
      <c r="I106" s="53"/>
      <c r="J106" s="50"/>
      <c r="K106" s="50"/>
      <c r="L106" s="85"/>
      <c r="M106" s="39"/>
      <c r="N106" s="29"/>
    </row>
    <row r="107" spans="1:16" s="8" customFormat="1" ht="16.5" thickBot="1" x14ac:dyDescent="0.25">
      <c r="A107" s="28" t="str">
        <f>IF(F107&lt;&gt;"",1+MAX('SITE CONCRETE'!$A$6:A106),"")</f>
        <v/>
      </c>
      <c r="B107" s="35"/>
      <c r="C107" s="54"/>
      <c r="D107" s="31"/>
      <c r="E107" s="225" t="s">
        <v>92</v>
      </c>
      <c r="F107" s="226"/>
      <c r="G107" s="32"/>
      <c r="H107" s="33"/>
      <c r="I107" s="34"/>
      <c r="J107" s="103"/>
      <c r="K107" s="103"/>
      <c r="L107" s="104"/>
      <c r="M107" s="105"/>
      <c r="N107" s="29"/>
    </row>
    <row r="108" spans="1:16" s="8" customFormat="1" ht="48" thickBot="1" x14ac:dyDescent="0.25">
      <c r="A108" s="28" t="str">
        <f>IF(F108&lt;&gt;"",1+MAX('SITE CONCRETE'!$A$6:A107),"")</f>
        <v/>
      </c>
      <c r="B108" s="35"/>
      <c r="C108" s="36"/>
      <c r="D108" s="36"/>
      <c r="E108" s="44" t="s">
        <v>142</v>
      </c>
      <c r="F108" s="140"/>
      <c r="G108" s="45"/>
      <c r="H108" s="16"/>
      <c r="I108" s="17"/>
      <c r="J108" s="46"/>
      <c r="K108" s="46"/>
      <c r="L108" s="83"/>
      <c r="M108" s="47"/>
      <c r="N108" s="29"/>
    </row>
    <row r="109" spans="1:16" s="8" customFormat="1" x14ac:dyDescent="0.2">
      <c r="A109" s="28">
        <f>IF(F109&lt;&gt;"",1+MAX('SITE CONCRETE'!$A$6:A108),"")</f>
        <v>66</v>
      </c>
      <c r="B109" s="35" t="s">
        <v>93</v>
      </c>
      <c r="C109" s="248" t="s">
        <v>80</v>
      </c>
      <c r="D109" s="6"/>
      <c r="E109" s="48" t="s">
        <v>113</v>
      </c>
      <c r="F109" s="38">
        <f>3.14*2*2*0.25*5.5*3/27</f>
        <v>1.9188888888888889</v>
      </c>
      <c r="G109" s="49">
        <v>7.0000000000000007E-2</v>
      </c>
      <c r="H109" s="16">
        <f>F109*(1+G109)</f>
        <v>2.0532111111111111</v>
      </c>
      <c r="I109" s="17" t="s">
        <v>17</v>
      </c>
      <c r="J109" s="224">
        <f t="shared" ref="J109:K109" si="45">J$10</f>
        <v>0</v>
      </c>
      <c r="K109" s="224">
        <f t="shared" si="45"/>
        <v>0</v>
      </c>
      <c r="L109" s="86">
        <f>J109+K109</f>
        <v>0</v>
      </c>
      <c r="M109" s="39">
        <f>L109*H109</f>
        <v>0</v>
      </c>
      <c r="N109" s="29"/>
      <c r="O109" s="81"/>
      <c r="P109" s="81"/>
    </row>
    <row r="110" spans="1:16" s="8" customFormat="1" x14ac:dyDescent="0.2">
      <c r="A110" s="28">
        <f>IF(F110&lt;&gt;"",1+MAX('SITE CONCRETE'!$A$6:A109),"")</f>
        <v>67</v>
      </c>
      <c r="B110" s="35" t="s">
        <v>93</v>
      </c>
      <c r="C110" s="248" t="s">
        <v>80</v>
      </c>
      <c r="D110" s="6"/>
      <c r="E110" s="37" t="s">
        <v>156</v>
      </c>
      <c r="F110" s="38">
        <f>6*4.5*1.5*1.2*3</f>
        <v>145.80000000000001</v>
      </c>
      <c r="G110" s="49">
        <v>7.0000000000000007E-2</v>
      </c>
      <c r="H110" s="16">
        <f>F110*(1+G110)</f>
        <v>156.00600000000003</v>
      </c>
      <c r="I110" s="17" t="s">
        <v>18</v>
      </c>
      <c r="J110" s="224">
        <f t="shared" ref="J110:K111" si="46">J$41</f>
        <v>0</v>
      </c>
      <c r="K110" s="224">
        <f t="shared" si="46"/>
        <v>0</v>
      </c>
      <c r="L110" s="86">
        <f>J110+K110</f>
        <v>0</v>
      </c>
      <c r="M110" s="39">
        <f>L110*H110</f>
        <v>0</v>
      </c>
      <c r="N110" s="29"/>
      <c r="O110" s="72"/>
    </row>
    <row r="111" spans="1:16" s="8" customFormat="1" x14ac:dyDescent="0.2">
      <c r="A111" s="28">
        <f>IF(F111&lt;&gt;"",1+MAX('SITE CONCRETE'!$A$6:A110),"")</f>
        <v>68</v>
      </c>
      <c r="B111" s="35" t="s">
        <v>93</v>
      </c>
      <c r="C111" s="248" t="s">
        <v>80</v>
      </c>
      <c r="D111" s="6"/>
      <c r="E111" s="37" t="s">
        <v>116</v>
      </c>
      <c r="F111" s="38">
        <f>5.5/0.5*3.14*2*0.668*1.2*3</f>
        <v>166.12358399999999</v>
      </c>
      <c r="G111" s="49">
        <v>7.0000000000000007E-2</v>
      </c>
      <c r="H111" s="16">
        <f>F111*(1+G111)</f>
        <v>177.75223488</v>
      </c>
      <c r="I111" s="17" t="s">
        <v>18</v>
      </c>
      <c r="J111" s="224">
        <f t="shared" si="46"/>
        <v>0</v>
      </c>
      <c r="K111" s="224">
        <f t="shared" si="46"/>
        <v>0</v>
      </c>
      <c r="L111" s="86">
        <f>J111+K111</f>
        <v>0</v>
      </c>
      <c r="M111" s="39">
        <f>L111*H111</f>
        <v>0</v>
      </c>
      <c r="N111" s="29"/>
      <c r="O111" s="72"/>
    </row>
    <row r="112" spans="1:16" s="8" customFormat="1" x14ac:dyDescent="0.2">
      <c r="A112" s="28">
        <f>IF(F112&lt;&gt;"",1+MAX('SITE CONCRETE'!$A$6:A111),"")</f>
        <v>69</v>
      </c>
      <c r="B112" s="35" t="s">
        <v>93</v>
      </c>
      <c r="C112" s="248" t="s">
        <v>80</v>
      </c>
      <c r="D112" s="6"/>
      <c r="E112" s="37" t="s">
        <v>153</v>
      </c>
      <c r="F112" s="38">
        <f>F109</f>
        <v>1.9188888888888889</v>
      </c>
      <c r="G112" s="51">
        <v>7.0000000000000007E-2</v>
      </c>
      <c r="H112" s="16">
        <f>F112*(1+G112)</f>
        <v>2.0532111111111111</v>
      </c>
      <c r="I112" s="17" t="s">
        <v>17</v>
      </c>
      <c r="J112" s="224">
        <f>J$12</f>
        <v>0</v>
      </c>
      <c r="K112" s="224">
        <f>K$12</f>
        <v>0</v>
      </c>
      <c r="L112" s="86">
        <f>J112+K112</f>
        <v>0</v>
      </c>
      <c r="M112" s="39">
        <f>L112*H112</f>
        <v>0</v>
      </c>
      <c r="N112" s="29"/>
      <c r="O112" s="72"/>
    </row>
    <row r="113" spans="1:16" s="8" customFormat="1" x14ac:dyDescent="0.2">
      <c r="A113" s="28">
        <f>IF(F113&lt;&gt;"",1+MAX('SITE CONCRETE'!$A$6:A112),"")</f>
        <v>70</v>
      </c>
      <c r="B113" s="35" t="s">
        <v>93</v>
      </c>
      <c r="C113" s="248" t="s">
        <v>80</v>
      </c>
      <c r="D113" s="6"/>
      <c r="E113" s="37" t="s">
        <v>90</v>
      </c>
      <c r="F113" s="38">
        <v>3</v>
      </c>
      <c r="G113" s="51">
        <v>0</v>
      </c>
      <c r="H113" s="16">
        <f>F113*(1+G113)</f>
        <v>3</v>
      </c>
      <c r="I113" s="17" t="s">
        <v>60</v>
      </c>
      <c r="J113" s="50">
        <f>J$105</f>
        <v>0</v>
      </c>
      <c r="K113" s="50">
        <f>K$105</f>
        <v>0</v>
      </c>
      <c r="L113" s="86">
        <f>J113+K113</f>
        <v>0</v>
      </c>
      <c r="M113" s="39">
        <f>L113*H113</f>
        <v>0</v>
      </c>
      <c r="N113" s="29"/>
    </row>
    <row r="114" spans="1:16" s="8" customFormat="1" ht="16.5" thickBot="1" x14ac:dyDescent="0.25">
      <c r="A114" s="28" t="str">
        <f>IF(F114&lt;&gt;"",1+MAX('SITE CONCRETE'!$A$6:A113),"")</f>
        <v/>
      </c>
      <c r="B114" s="35"/>
      <c r="C114" s="36"/>
      <c r="D114" s="6"/>
      <c r="E114" s="141"/>
      <c r="F114" s="14"/>
      <c r="G114" s="51"/>
      <c r="H114" s="52"/>
      <c r="I114" s="53"/>
      <c r="J114" s="50"/>
      <c r="K114" s="50"/>
      <c r="L114" s="85"/>
      <c r="M114" s="39"/>
      <c r="N114" s="29"/>
    </row>
    <row r="115" spans="1:16" s="8" customFormat="1" ht="16.5" thickBot="1" x14ac:dyDescent="0.25">
      <c r="A115" s="28" t="str">
        <f>IF(F115&lt;&gt;"",1+MAX('SITE CONCRETE'!$A$6:A114),"")</f>
        <v/>
      </c>
      <c r="B115" s="35"/>
      <c r="C115" s="54"/>
      <c r="D115" s="31"/>
      <c r="E115" s="225" t="s">
        <v>94</v>
      </c>
      <c r="F115" s="226"/>
      <c r="G115" s="32"/>
      <c r="H115" s="33"/>
      <c r="I115" s="34"/>
      <c r="J115" s="103"/>
      <c r="K115" s="103"/>
      <c r="L115" s="104"/>
      <c r="M115" s="105"/>
      <c r="N115" s="29"/>
    </row>
    <row r="116" spans="1:16" s="8" customFormat="1" x14ac:dyDescent="0.2">
      <c r="A116" s="28">
        <f>IF(F116&lt;&gt;"",1+MAX('SITE CONCRETE'!$A$6:A115),"")</f>
        <v>71</v>
      </c>
      <c r="B116" s="35" t="s">
        <v>50</v>
      </c>
      <c r="C116" s="36" t="s">
        <v>51</v>
      </c>
      <c r="D116" s="249">
        <f>H116*0.67/27</f>
        <v>258.1902074074074</v>
      </c>
      <c r="E116" s="48" t="s">
        <v>157</v>
      </c>
      <c r="F116" s="38">
        <v>9724</v>
      </c>
      <c r="G116" s="49">
        <v>7.0000000000000007E-2</v>
      </c>
      <c r="H116" s="16">
        <f>F116*(1+G116)</f>
        <v>10404.68</v>
      </c>
      <c r="I116" s="17" t="s">
        <v>52</v>
      </c>
      <c r="J116" s="228">
        <v>0</v>
      </c>
      <c r="K116" s="228">
        <v>0</v>
      </c>
      <c r="L116" s="86">
        <f>J116+K116</f>
        <v>0</v>
      </c>
      <c r="M116" s="39">
        <f>L116*H116</f>
        <v>0</v>
      </c>
      <c r="N116" s="29"/>
      <c r="O116" s="81"/>
      <c r="P116" s="81"/>
    </row>
    <row r="117" spans="1:16" s="8" customFormat="1" x14ac:dyDescent="0.2">
      <c r="A117" s="28">
        <f>IF(F117&lt;&gt;"",1+MAX('SITE CONCRETE'!$A$6:A116),"")</f>
        <v>72</v>
      </c>
      <c r="B117" s="35" t="s">
        <v>50</v>
      </c>
      <c r="C117" s="36" t="s">
        <v>51</v>
      </c>
      <c r="D117" s="6"/>
      <c r="E117" s="37" t="s">
        <v>145</v>
      </c>
      <c r="F117" s="38">
        <v>4789</v>
      </c>
      <c r="G117" s="49">
        <v>7.0000000000000007E-2</v>
      </c>
      <c r="H117" s="16">
        <f>F117*(1+G117)</f>
        <v>5124.2300000000005</v>
      </c>
      <c r="I117" s="17" t="s">
        <v>53</v>
      </c>
      <c r="J117" s="224">
        <f>J$59</f>
        <v>0</v>
      </c>
      <c r="K117" s="224">
        <f>K$59</f>
        <v>0</v>
      </c>
      <c r="L117" s="86">
        <f>J117+K117</f>
        <v>0</v>
      </c>
      <c r="M117" s="39">
        <f>L117*H117</f>
        <v>0</v>
      </c>
      <c r="N117" s="29"/>
      <c r="O117" s="72"/>
    </row>
    <row r="118" spans="1:16" s="8" customFormat="1" x14ac:dyDescent="0.2">
      <c r="A118" s="28">
        <f>IF(F118&lt;&gt;"",1+MAX('SITE CONCRETE'!$A$6:A117),"")</f>
        <v>73</v>
      </c>
      <c r="B118" s="35" t="s">
        <v>50</v>
      </c>
      <c r="C118" s="248" t="s">
        <v>80</v>
      </c>
      <c r="D118" s="6"/>
      <c r="E118" s="37" t="s">
        <v>150</v>
      </c>
      <c r="F118" s="38">
        <f>1.043*1.2*2*F116</f>
        <v>24341.116799999996</v>
      </c>
      <c r="G118" s="51">
        <v>7.0000000000000007E-2</v>
      </c>
      <c r="H118" s="16">
        <f>F118*(1+G118)</f>
        <v>26044.994975999998</v>
      </c>
      <c r="I118" s="17" t="s">
        <v>18</v>
      </c>
      <c r="J118" s="224">
        <f t="shared" ref="J118:K118" si="47">J$41</f>
        <v>0</v>
      </c>
      <c r="K118" s="224">
        <f t="shared" si="47"/>
        <v>0</v>
      </c>
      <c r="L118" s="86">
        <f>J118+K118</f>
        <v>0</v>
      </c>
      <c r="M118" s="39">
        <f>L118*H118</f>
        <v>0</v>
      </c>
      <c r="N118" s="29"/>
      <c r="O118" s="72"/>
    </row>
    <row r="119" spans="1:16" s="8" customFormat="1" x14ac:dyDescent="0.2">
      <c r="A119" s="28">
        <f>IF(F119&lt;&gt;"",1+MAX('SITE CONCRETE'!$A$6:A118),"")</f>
        <v>74</v>
      </c>
      <c r="B119" s="35" t="s">
        <v>50</v>
      </c>
      <c r="C119" s="36" t="s">
        <v>51</v>
      </c>
      <c r="D119" s="6"/>
      <c r="E119" s="37" t="s">
        <v>129</v>
      </c>
      <c r="F119" s="38">
        <f>0.16*F118</f>
        <v>3894.5786879999996</v>
      </c>
      <c r="G119" s="51">
        <v>7.0000000000000007E-2</v>
      </c>
      <c r="H119" s="16">
        <f>F119*(1+G119)</f>
        <v>4167.1991961599997</v>
      </c>
      <c r="I119" s="17" t="s">
        <v>53</v>
      </c>
      <c r="J119" s="224">
        <f t="shared" ref="J119:K119" si="48">J$32</f>
        <v>0</v>
      </c>
      <c r="K119" s="224">
        <f t="shared" si="48"/>
        <v>0</v>
      </c>
      <c r="L119" s="86">
        <f>J119+K119</f>
        <v>0</v>
      </c>
      <c r="M119" s="39">
        <f>L119*H119</f>
        <v>0</v>
      </c>
      <c r="N119" s="29"/>
    </row>
    <row r="120" spans="1:16" s="8" customFormat="1" x14ac:dyDescent="0.2">
      <c r="A120" s="28">
        <f>IF(F120&lt;&gt;"",1+MAX('SITE CONCRETE'!$A$6:A119),"")</f>
        <v>75</v>
      </c>
      <c r="B120" s="35" t="s">
        <v>50</v>
      </c>
      <c r="C120" s="36" t="s">
        <v>51</v>
      </c>
      <c r="D120" s="6"/>
      <c r="E120" s="37" t="s">
        <v>130</v>
      </c>
      <c r="F120" s="38">
        <f>F116*0.08</f>
        <v>777.92000000000007</v>
      </c>
      <c r="G120" s="51">
        <v>7.0000000000000007E-2</v>
      </c>
      <c r="H120" s="16">
        <f>F120*(1+G120)</f>
        <v>832.37440000000015</v>
      </c>
      <c r="I120" s="17" t="s">
        <v>53</v>
      </c>
      <c r="J120" s="224">
        <f t="shared" ref="J120:K120" si="49">J$33</f>
        <v>0</v>
      </c>
      <c r="K120" s="224">
        <f t="shared" si="49"/>
        <v>0</v>
      </c>
      <c r="L120" s="86">
        <f>J120+K120</f>
        <v>0</v>
      </c>
      <c r="M120" s="39">
        <f>L120*H120</f>
        <v>0</v>
      </c>
      <c r="N120" s="29"/>
    </row>
    <row r="121" spans="1:16" s="8" customFormat="1" ht="16.5" thickBot="1" x14ac:dyDescent="0.25">
      <c r="A121" s="28" t="str">
        <f>IF(F121&lt;&gt;"",1+MAX('SITE CONCRETE'!$A$6:A120),"")</f>
        <v/>
      </c>
      <c r="B121" s="35"/>
      <c r="C121" s="36"/>
      <c r="D121" s="6"/>
      <c r="E121" s="141"/>
      <c r="F121" s="14"/>
      <c r="G121" s="51"/>
      <c r="H121" s="52"/>
      <c r="I121" s="53"/>
      <c r="J121" s="50"/>
      <c r="K121" s="50"/>
      <c r="L121" s="85"/>
      <c r="M121" s="39"/>
      <c r="N121" s="29"/>
    </row>
    <row r="122" spans="1:16" s="8" customFormat="1" ht="16.5" thickBot="1" x14ac:dyDescent="0.25">
      <c r="A122" s="28" t="str">
        <f>IF(F122&lt;&gt;"",1+MAX('SITE CONCRETE'!$A$6:A121),"")</f>
        <v/>
      </c>
      <c r="B122" s="35"/>
      <c r="C122" s="54"/>
      <c r="D122" s="31"/>
      <c r="E122" s="225" t="s">
        <v>96</v>
      </c>
      <c r="F122" s="226"/>
      <c r="G122" s="32"/>
      <c r="H122" s="33"/>
      <c r="I122" s="34"/>
      <c r="J122" s="103"/>
      <c r="K122" s="103"/>
      <c r="L122" s="104"/>
      <c r="M122" s="105"/>
      <c r="N122" s="29"/>
    </row>
    <row r="123" spans="1:16" s="8" customFormat="1" x14ac:dyDescent="0.2">
      <c r="A123" s="28">
        <f>IF(F123&lt;&gt;"",1+MAX('SITE CONCRETE'!$A$6:A122),"")</f>
        <v>76</v>
      </c>
      <c r="B123" s="35" t="s">
        <v>50</v>
      </c>
      <c r="C123" s="36" t="s">
        <v>51</v>
      </c>
      <c r="D123" s="249">
        <f>H123*0.5/27</f>
        <v>156.71537037037038</v>
      </c>
      <c r="E123" s="48" t="s">
        <v>158</v>
      </c>
      <c r="F123" s="38">
        <v>7909</v>
      </c>
      <c r="G123" s="49">
        <v>7.0000000000000007E-2</v>
      </c>
      <c r="H123" s="16">
        <f>F123*(1+G123)</f>
        <v>8462.630000000001</v>
      </c>
      <c r="I123" s="17" t="s">
        <v>52</v>
      </c>
      <c r="J123" s="228">
        <v>0</v>
      </c>
      <c r="K123" s="228">
        <v>0</v>
      </c>
      <c r="L123" s="86">
        <f>J123+K123</f>
        <v>0</v>
      </c>
      <c r="M123" s="39">
        <f>L123*H123</f>
        <v>0</v>
      </c>
      <c r="N123" s="29"/>
      <c r="O123" s="81"/>
      <c r="P123" s="81"/>
    </row>
    <row r="124" spans="1:16" s="8" customFormat="1" x14ac:dyDescent="0.2">
      <c r="A124" s="28">
        <f>IF(F124&lt;&gt;"",1+MAX('SITE CONCRETE'!$A$6:A123),"")</f>
        <v>77</v>
      </c>
      <c r="B124" s="35" t="s">
        <v>50</v>
      </c>
      <c r="C124" s="36" t="s">
        <v>51</v>
      </c>
      <c r="D124" s="6"/>
      <c r="E124" s="37" t="s">
        <v>146</v>
      </c>
      <c r="F124" s="38">
        <v>1113</v>
      </c>
      <c r="G124" s="49">
        <v>7.0000000000000007E-2</v>
      </c>
      <c r="H124" s="16">
        <f>F124*(1+G124)</f>
        <v>1190.9100000000001</v>
      </c>
      <c r="I124" s="17" t="s">
        <v>53</v>
      </c>
      <c r="J124" s="224">
        <f t="shared" ref="J124:K124" si="50">J$67</f>
        <v>0</v>
      </c>
      <c r="K124" s="224">
        <f t="shared" si="50"/>
        <v>0</v>
      </c>
      <c r="L124" s="86">
        <f>J124+K124</f>
        <v>0</v>
      </c>
      <c r="M124" s="39">
        <f>L124*H124</f>
        <v>0</v>
      </c>
      <c r="N124" s="29"/>
      <c r="O124" s="72"/>
    </row>
    <row r="125" spans="1:16" s="8" customFormat="1" x14ac:dyDescent="0.2">
      <c r="A125" s="28">
        <f>IF(F125&lt;&gt;"",1+MAX('SITE CONCRETE'!$A$6:A124),"")</f>
        <v>78</v>
      </c>
      <c r="B125" s="35" t="s">
        <v>50</v>
      </c>
      <c r="C125" s="248" t="s">
        <v>80</v>
      </c>
      <c r="D125" s="6"/>
      <c r="E125" s="37" t="s">
        <v>150</v>
      </c>
      <c r="F125" s="38">
        <f>1.043*1.2*2*F123</f>
        <v>19797.808799999999</v>
      </c>
      <c r="G125" s="51">
        <v>7.0000000000000007E-2</v>
      </c>
      <c r="H125" s="16">
        <f>F125*(1+G125)</f>
        <v>21183.655416000001</v>
      </c>
      <c r="I125" s="17" t="s">
        <v>18</v>
      </c>
      <c r="J125" s="224">
        <f t="shared" ref="J125:K125" si="51">J$41</f>
        <v>0</v>
      </c>
      <c r="K125" s="224">
        <f t="shared" si="51"/>
        <v>0</v>
      </c>
      <c r="L125" s="86">
        <f>J125+K125</f>
        <v>0</v>
      </c>
      <c r="M125" s="39">
        <f>L125*H125</f>
        <v>0</v>
      </c>
      <c r="N125" s="29"/>
      <c r="O125" s="72"/>
    </row>
    <row r="126" spans="1:16" s="8" customFormat="1" x14ac:dyDescent="0.2">
      <c r="A126" s="28">
        <f>IF(F126&lt;&gt;"",1+MAX('SITE CONCRETE'!$A$6:A125),"")</f>
        <v>79</v>
      </c>
      <c r="B126" s="35" t="s">
        <v>50</v>
      </c>
      <c r="C126" s="36" t="s">
        <v>51</v>
      </c>
      <c r="D126" s="6"/>
      <c r="E126" s="37" t="s">
        <v>129</v>
      </c>
      <c r="F126" s="38">
        <f>0.16*F125</f>
        <v>3167.6494079999998</v>
      </c>
      <c r="G126" s="51">
        <v>7.0000000000000007E-2</v>
      </c>
      <c r="H126" s="16">
        <f>F126*(1+G126)</f>
        <v>3389.3848665599999</v>
      </c>
      <c r="I126" s="17" t="s">
        <v>53</v>
      </c>
      <c r="J126" s="224">
        <f t="shared" ref="J126:K126" si="52">J$32</f>
        <v>0</v>
      </c>
      <c r="K126" s="224">
        <f t="shared" si="52"/>
        <v>0</v>
      </c>
      <c r="L126" s="86">
        <f>J126+K126</f>
        <v>0</v>
      </c>
      <c r="M126" s="39">
        <f>L126*H126</f>
        <v>0</v>
      </c>
      <c r="N126" s="29"/>
    </row>
    <row r="127" spans="1:16" s="8" customFormat="1" x14ac:dyDescent="0.2">
      <c r="A127" s="28">
        <f>IF(F127&lt;&gt;"",1+MAX('SITE CONCRETE'!$A$6:A126),"")</f>
        <v>80</v>
      </c>
      <c r="B127" s="35" t="s">
        <v>50</v>
      </c>
      <c r="C127" s="36" t="s">
        <v>51</v>
      </c>
      <c r="D127" s="6"/>
      <c r="E127" s="37" t="s">
        <v>130</v>
      </c>
      <c r="F127" s="38">
        <f>F123*0.08</f>
        <v>632.72</v>
      </c>
      <c r="G127" s="51">
        <v>7.0000000000000007E-2</v>
      </c>
      <c r="H127" s="16">
        <f>F127*(1+G127)</f>
        <v>677.01040000000012</v>
      </c>
      <c r="I127" s="17" t="s">
        <v>53</v>
      </c>
      <c r="J127" s="224">
        <f t="shared" ref="J127:K127" si="53">J$33</f>
        <v>0</v>
      </c>
      <c r="K127" s="224">
        <f t="shared" si="53"/>
        <v>0</v>
      </c>
      <c r="L127" s="86">
        <f>J127+K127</f>
        <v>0</v>
      </c>
      <c r="M127" s="39">
        <f>L127*H127</f>
        <v>0</v>
      </c>
      <c r="N127" s="29"/>
    </row>
    <row r="128" spans="1:16" s="8" customFormat="1" ht="16.5" thickBot="1" x14ac:dyDescent="0.25">
      <c r="A128" s="28" t="str">
        <f>IF(F128&lt;&gt;"",1+MAX('SITE CONCRETE'!$A$6:A127),"")</f>
        <v/>
      </c>
      <c r="B128" s="35"/>
      <c r="C128" s="36"/>
      <c r="D128" s="6"/>
      <c r="E128" s="141"/>
      <c r="F128" s="14"/>
      <c r="G128" s="51"/>
      <c r="H128" s="52"/>
      <c r="I128" s="53"/>
      <c r="J128" s="50"/>
      <c r="K128" s="50"/>
      <c r="L128" s="85"/>
      <c r="M128" s="39"/>
      <c r="N128" s="29"/>
    </row>
    <row r="129" spans="1:16" s="8" customFormat="1" ht="16.5" thickBot="1" x14ac:dyDescent="0.25">
      <c r="A129" s="28" t="str">
        <f>IF(F129&lt;&gt;"",1+MAX('SITE CONCRETE'!$A$6:A128),"")</f>
        <v/>
      </c>
      <c r="B129" s="35"/>
      <c r="C129" s="54"/>
      <c r="D129" s="31"/>
      <c r="E129" s="225" t="s">
        <v>95</v>
      </c>
      <c r="F129" s="226"/>
      <c r="G129" s="32"/>
      <c r="H129" s="33"/>
      <c r="I129" s="34"/>
      <c r="J129" s="103"/>
      <c r="K129" s="103"/>
      <c r="L129" s="104"/>
      <c r="M129" s="105"/>
      <c r="N129" s="29"/>
    </row>
    <row r="130" spans="1:16" s="8" customFormat="1" x14ac:dyDescent="0.2">
      <c r="A130" s="28">
        <f>IF(F130&lt;&gt;"",1+MAX('SITE CONCRETE'!$A$6:A129),"")</f>
        <v>81</v>
      </c>
      <c r="B130" s="35" t="s">
        <v>50</v>
      </c>
      <c r="C130" s="36" t="s">
        <v>51</v>
      </c>
      <c r="D130" s="6"/>
      <c r="E130" s="48" t="s">
        <v>113</v>
      </c>
      <c r="F130" s="38">
        <f>4*3*0.5*3/27</f>
        <v>0.66666666666666663</v>
      </c>
      <c r="G130" s="49">
        <v>7.0000000000000007E-2</v>
      </c>
      <c r="H130" s="16">
        <f>F130*(1+G130)</f>
        <v>0.71333333333333337</v>
      </c>
      <c r="I130" s="17" t="s">
        <v>17</v>
      </c>
      <c r="J130" s="224">
        <f t="shared" ref="J130:K130" si="54">J$10</f>
        <v>0</v>
      </c>
      <c r="K130" s="224">
        <f t="shared" si="54"/>
        <v>0</v>
      </c>
      <c r="L130" s="86">
        <f>J130+K130</f>
        <v>0</v>
      </c>
      <c r="M130" s="39">
        <f>L130*H130</f>
        <v>0</v>
      </c>
      <c r="N130" s="29"/>
      <c r="O130" s="81"/>
      <c r="P130" s="81"/>
    </row>
    <row r="131" spans="1:16" s="8" customFormat="1" x14ac:dyDescent="0.2">
      <c r="A131" s="28">
        <f>IF(F131&lt;&gt;"",1+MAX('SITE CONCRETE'!$A$6:A130),"")</f>
        <v>82</v>
      </c>
      <c r="B131" s="35" t="s">
        <v>50</v>
      </c>
      <c r="C131" s="36" t="s">
        <v>51</v>
      </c>
      <c r="D131" s="6"/>
      <c r="E131" s="37" t="s">
        <v>146</v>
      </c>
      <c r="F131" s="38">
        <f>2*7*3</f>
        <v>42</v>
      </c>
      <c r="G131" s="49">
        <v>7.0000000000000007E-2</v>
      </c>
      <c r="H131" s="16">
        <f>F131*(1+G131)</f>
        <v>44.940000000000005</v>
      </c>
      <c r="I131" s="17" t="s">
        <v>53</v>
      </c>
      <c r="J131" s="224">
        <f t="shared" ref="J131:K131" si="55">J$67</f>
        <v>0</v>
      </c>
      <c r="K131" s="224">
        <f t="shared" si="55"/>
        <v>0</v>
      </c>
      <c r="L131" s="86">
        <f>J131+K131</f>
        <v>0</v>
      </c>
      <c r="M131" s="39">
        <f>L131*H131</f>
        <v>0</v>
      </c>
      <c r="N131" s="29"/>
      <c r="O131" s="72"/>
    </row>
    <row r="132" spans="1:16" s="8" customFormat="1" ht="16.5" thickBot="1" x14ac:dyDescent="0.25">
      <c r="A132" s="28" t="str">
        <f>IF(F132&lt;&gt;"",1+MAX('SITE CONCRETE'!$A$6:A131),"")</f>
        <v/>
      </c>
      <c r="B132" s="35"/>
      <c r="C132" s="36"/>
      <c r="D132" s="6"/>
      <c r="E132" s="246"/>
      <c r="F132" s="247"/>
      <c r="G132" s="51"/>
      <c r="H132" s="52"/>
      <c r="I132" s="53"/>
      <c r="J132" s="50"/>
      <c r="K132" s="50"/>
      <c r="L132" s="85"/>
      <c r="M132" s="39"/>
      <c r="N132" s="29"/>
    </row>
    <row r="133" spans="1:16" s="8" customFormat="1" ht="16.5" thickBot="1" x14ac:dyDescent="0.25">
      <c r="A133" s="28" t="str">
        <f>IF(F133&lt;&gt;"",1+MAX('SITE CONCRETE'!$A$6:A132),"")</f>
        <v/>
      </c>
      <c r="B133" s="35"/>
      <c r="C133" s="54"/>
      <c r="D133" s="31"/>
      <c r="E133" s="225" t="s">
        <v>98</v>
      </c>
      <c r="F133" s="226"/>
      <c r="G133" s="32"/>
      <c r="H133" s="33"/>
      <c r="I133" s="34"/>
      <c r="J133" s="103"/>
      <c r="K133" s="103"/>
      <c r="L133" s="104"/>
      <c r="M133" s="105"/>
      <c r="N133" s="29"/>
    </row>
    <row r="134" spans="1:16" s="8" customFormat="1" x14ac:dyDescent="0.2">
      <c r="A134" s="28">
        <f>IF(F134&lt;&gt;"",1+MAX('SITE CONCRETE'!$A$6:A133),"")</f>
        <v>83</v>
      </c>
      <c r="B134" s="35" t="s">
        <v>50</v>
      </c>
      <c r="C134" s="248" t="s">
        <v>80</v>
      </c>
      <c r="D134" s="6"/>
      <c r="E134" s="48" t="s">
        <v>113</v>
      </c>
      <c r="F134" s="38">
        <f>25*0.037037037037037</f>
        <v>0.92592592592592504</v>
      </c>
      <c r="G134" s="49">
        <v>7.0000000000000007E-2</v>
      </c>
      <c r="H134" s="16">
        <f>F134*(1+G134)</f>
        <v>0.99074074074073981</v>
      </c>
      <c r="I134" s="17" t="s">
        <v>17</v>
      </c>
      <c r="J134" s="224">
        <f t="shared" ref="J134:K134" si="56">J$10</f>
        <v>0</v>
      </c>
      <c r="K134" s="224">
        <f t="shared" si="56"/>
        <v>0</v>
      </c>
      <c r="L134" s="86">
        <f>J134+K134</f>
        <v>0</v>
      </c>
      <c r="M134" s="39">
        <f>L134*H134</f>
        <v>0</v>
      </c>
      <c r="N134" s="29"/>
      <c r="O134" s="81"/>
      <c r="P134" s="81"/>
    </row>
    <row r="135" spans="1:16" s="8" customFormat="1" x14ac:dyDescent="0.2">
      <c r="A135" s="28">
        <f>IF(F135&lt;&gt;"",1+MAX('SITE CONCRETE'!$A$6:A134),"")</f>
        <v>84</v>
      </c>
      <c r="B135" s="35" t="s">
        <v>50</v>
      </c>
      <c r="C135" s="248" t="s">
        <v>80</v>
      </c>
      <c r="D135" s="6"/>
      <c r="E135" s="37" t="s">
        <v>99</v>
      </c>
      <c r="F135" s="38">
        <v>20</v>
      </c>
      <c r="G135" s="49">
        <v>7.0000000000000007E-2</v>
      </c>
      <c r="H135" s="16">
        <f>F135*(1+G135)</f>
        <v>21.400000000000002</v>
      </c>
      <c r="I135" s="17" t="s">
        <v>19</v>
      </c>
      <c r="J135" s="224">
        <f t="shared" ref="J135:K135" si="57">J$44</f>
        <v>0</v>
      </c>
      <c r="K135" s="224">
        <f t="shared" si="57"/>
        <v>0</v>
      </c>
      <c r="L135" s="86">
        <f>J135+K135</f>
        <v>0</v>
      </c>
      <c r="M135" s="39">
        <f>L135*H135</f>
        <v>0</v>
      </c>
      <c r="N135" s="29"/>
      <c r="O135" s="72"/>
    </row>
    <row r="136" spans="1:16" s="8" customFormat="1" x14ac:dyDescent="0.2">
      <c r="A136" s="28">
        <f>IF(F136&lt;&gt;"",1+MAX('SITE CONCRETE'!$A$6:A135),"")</f>
        <v>85</v>
      </c>
      <c r="B136" s="35" t="s">
        <v>50</v>
      </c>
      <c r="C136" s="248" t="s">
        <v>80</v>
      </c>
      <c r="D136" s="6"/>
      <c r="E136" s="37" t="s">
        <v>150</v>
      </c>
      <c r="F136" s="38">
        <f>1.043*1.2*2*2*25</f>
        <v>125.15999999999998</v>
      </c>
      <c r="G136" s="51">
        <v>7.0000000000000007E-2</v>
      </c>
      <c r="H136" s="16">
        <f>F136*(1+G136)</f>
        <v>133.9212</v>
      </c>
      <c r="I136" s="17" t="s">
        <v>18</v>
      </c>
      <c r="J136" s="224">
        <f t="shared" ref="J136:K136" si="58">J$41</f>
        <v>0</v>
      </c>
      <c r="K136" s="224">
        <f t="shared" si="58"/>
        <v>0</v>
      </c>
      <c r="L136" s="86">
        <f>J136+K136</f>
        <v>0</v>
      </c>
      <c r="M136" s="39">
        <f>L136*H136</f>
        <v>0</v>
      </c>
      <c r="N136" s="29"/>
      <c r="O136" s="72"/>
    </row>
    <row r="137" spans="1:16" s="8" customFormat="1" ht="16.5" thickBot="1" x14ac:dyDescent="0.25">
      <c r="A137" s="28" t="str">
        <f>IF(F137&lt;&gt;"",1+MAX('SITE CONCRETE'!$A$6:A136),"")</f>
        <v/>
      </c>
      <c r="B137" s="35"/>
      <c r="C137" s="36"/>
      <c r="D137" s="6"/>
      <c r="E137" s="141"/>
      <c r="F137" s="14"/>
      <c r="G137" s="51"/>
      <c r="H137" s="52"/>
      <c r="I137" s="53"/>
      <c r="J137" s="50"/>
      <c r="K137" s="50"/>
      <c r="L137" s="85"/>
      <c r="M137" s="39"/>
      <c r="N137" s="29"/>
    </row>
    <row r="138" spans="1:16" s="8" customFormat="1" ht="16.5" thickBot="1" x14ac:dyDescent="0.25">
      <c r="A138" s="28" t="str">
        <f>IF(F138&lt;&gt;"",1+MAX('SITE CONCRETE'!$A$6:A137),"")</f>
        <v/>
      </c>
      <c r="B138" s="35"/>
      <c r="C138" s="54"/>
      <c r="D138" s="31"/>
      <c r="E138" s="225" t="s">
        <v>100</v>
      </c>
      <c r="F138" s="226"/>
      <c r="G138" s="32"/>
      <c r="H138" s="33"/>
      <c r="I138" s="34"/>
      <c r="J138" s="103"/>
      <c r="K138" s="103"/>
      <c r="L138" s="104"/>
      <c r="M138" s="105"/>
      <c r="N138" s="29"/>
    </row>
    <row r="139" spans="1:16" s="8" customFormat="1" x14ac:dyDescent="0.2">
      <c r="A139" s="28">
        <f>IF(F139&lt;&gt;"",1+MAX('SITE CONCRETE'!$A$6:A138),"")</f>
        <v>86</v>
      </c>
      <c r="B139" s="35" t="s">
        <v>50</v>
      </c>
      <c r="C139" s="36" t="s">
        <v>47</v>
      </c>
      <c r="D139" s="6"/>
      <c r="E139" s="48" t="s">
        <v>159</v>
      </c>
      <c r="F139" s="38">
        <v>55</v>
      </c>
      <c r="G139" s="49">
        <v>7.0000000000000007E-2</v>
      </c>
      <c r="H139" s="16">
        <f>F139*(1+G139)</f>
        <v>58.85</v>
      </c>
      <c r="I139" s="17" t="s">
        <v>52</v>
      </c>
      <c r="J139" s="228">
        <v>0</v>
      </c>
      <c r="K139" s="228">
        <v>0</v>
      </c>
      <c r="L139" s="86">
        <f>J139+K139</f>
        <v>0</v>
      </c>
      <c r="M139" s="39">
        <f>L139*H139</f>
        <v>0</v>
      </c>
      <c r="N139" s="29"/>
      <c r="O139" s="81"/>
      <c r="P139" s="81"/>
    </row>
    <row r="140" spans="1:16" s="8" customFormat="1" ht="16.5" thickBot="1" x14ac:dyDescent="0.25">
      <c r="A140" s="28" t="str">
        <f>IF(F140&lt;&gt;"",1+MAX('SITE CONCRETE'!$A$6:A139),"")</f>
        <v/>
      </c>
      <c r="B140" s="35"/>
      <c r="C140" s="36"/>
      <c r="D140" s="6"/>
      <c r="E140" s="141"/>
      <c r="F140" s="14"/>
      <c r="G140" s="51"/>
      <c r="H140" s="52"/>
      <c r="I140" s="53"/>
      <c r="J140" s="50"/>
      <c r="K140" s="50"/>
      <c r="L140" s="85"/>
      <c r="M140" s="39"/>
      <c r="N140" s="29"/>
    </row>
    <row r="141" spans="1:16" s="8" customFormat="1" ht="16.5" thickBot="1" x14ac:dyDescent="0.25">
      <c r="A141" s="28" t="str">
        <f>IF(F141&lt;&gt;"",1+MAX('SITE CONCRETE'!$A$6:A140),"")</f>
        <v/>
      </c>
      <c r="B141" s="35"/>
      <c r="C141" s="54"/>
      <c r="D141" s="31"/>
      <c r="E141" s="225" t="s">
        <v>101</v>
      </c>
      <c r="F141" s="226"/>
      <c r="G141" s="32"/>
      <c r="H141" s="33"/>
      <c r="I141" s="34"/>
      <c r="J141" s="103"/>
      <c r="K141" s="103"/>
      <c r="L141" s="104"/>
      <c r="M141" s="105"/>
      <c r="N141" s="29"/>
    </row>
    <row r="142" spans="1:16" s="8" customFormat="1" x14ac:dyDescent="0.2">
      <c r="A142" s="28">
        <f>IF(F142&lt;&gt;"",1+MAX('SITE CONCRETE'!$A$6:A141),"")</f>
        <v>87</v>
      </c>
      <c r="B142" s="35" t="s">
        <v>50</v>
      </c>
      <c r="C142" s="36" t="s">
        <v>47</v>
      </c>
      <c r="D142" s="6"/>
      <c r="E142" s="48" t="s">
        <v>160</v>
      </c>
      <c r="F142" s="38">
        <v>138</v>
      </c>
      <c r="G142" s="49">
        <v>7.0000000000000007E-2</v>
      </c>
      <c r="H142" s="16">
        <f>F142*(1+G142)</f>
        <v>147.66</v>
      </c>
      <c r="I142" s="17" t="s">
        <v>53</v>
      </c>
      <c r="J142" s="228">
        <v>0</v>
      </c>
      <c r="K142" s="228">
        <v>0</v>
      </c>
      <c r="L142" s="86">
        <f>J142+K142</f>
        <v>0</v>
      </c>
      <c r="M142" s="39">
        <f>L142*H142</f>
        <v>0</v>
      </c>
      <c r="N142" s="29"/>
      <c r="O142" s="81"/>
      <c r="P142" s="81"/>
    </row>
    <row r="143" spans="1:16" s="8" customFormat="1" ht="16.5" thickBot="1" x14ac:dyDescent="0.25">
      <c r="A143" s="28" t="str">
        <f>IF(F143&lt;&gt;"",1+MAX('SITE CONCRETE'!$A$6:A142),"")</f>
        <v/>
      </c>
      <c r="B143" s="35"/>
      <c r="C143" s="35"/>
      <c r="D143" s="143"/>
      <c r="F143" s="9"/>
      <c r="G143" s="10"/>
      <c r="H143" s="9"/>
      <c r="I143" s="11"/>
      <c r="J143" s="12"/>
      <c r="K143" s="12"/>
      <c r="L143" s="88"/>
      <c r="M143" s="55"/>
      <c r="N143" s="56"/>
    </row>
    <row r="144" spans="1:16" s="8" customFormat="1" ht="16.5" thickBot="1" x14ac:dyDescent="0.25">
      <c r="A144" s="28" t="str">
        <f>IF(F144&lt;&gt;"",1+MAX('SITE CONCRETE'!$A$6:A143),"")</f>
        <v/>
      </c>
      <c r="B144" s="6"/>
      <c r="C144" s="6"/>
      <c r="D144" s="144"/>
      <c r="E144" s="73" t="s">
        <v>22</v>
      </c>
      <c r="F144" s="14"/>
      <c r="G144" s="15"/>
      <c r="H144" s="16"/>
      <c r="I144" s="17"/>
      <c r="J144" s="18"/>
      <c r="K144" s="18"/>
      <c r="L144" s="89"/>
      <c r="M144" s="4"/>
      <c r="N144" s="137">
        <f>SUM(M6:M143)</f>
        <v>0</v>
      </c>
      <c r="O144" s="69"/>
    </row>
    <row r="145" spans="1:16" s="24" customFormat="1" x14ac:dyDescent="0.2">
      <c r="A145" s="28" t="str">
        <f>IF(F145&lt;&gt;"",1+MAX($A$7:A144),"")</f>
        <v/>
      </c>
      <c r="B145" s="35"/>
      <c r="C145" s="36"/>
      <c r="D145" s="142"/>
      <c r="E145" s="80"/>
      <c r="F145" s="78"/>
      <c r="G145" s="49"/>
      <c r="H145" s="52"/>
      <c r="I145" s="53"/>
      <c r="J145" s="138"/>
      <c r="K145" s="138"/>
      <c r="L145" s="85"/>
      <c r="M145" s="79"/>
      <c r="N145" s="84"/>
    </row>
    <row r="146" spans="1:16" s="24" customFormat="1" ht="16.5" thickBot="1" x14ac:dyDescent="0.25">
      <c r="A146" s="91" t="str">
        <f>IF(F146&lt;&gt;"",1+MAX($A$6:A144),"")</f>
        <v/>
      </c>
      <c r="B146" s="92"/>
      <c r="C146" s="93"/>
      <c r="D146" s="94"/>
      <c r="E146" s="82"/>
      <c r="F146" s="95"/>
      <c r="G146" s="96"/>
      <c r="H146" s="97"/>
      <c r="I146" s="98"/>
      <c r="J146" s="99"/>
      <c r="K146" s="99"/>
      <c r="L146" s="90"/>
      <c r="M146" s="100"/>
      <c r="N146" s="29"/>
    </row>
    <row r="147" spans="1:16" ht="16.5" thickBot="1" x14ac:dyDescent="0.25">
      <c r="A147" s="166" t="s">
        <v>11</v>
      </c>
      <c r="B147" s="167"/>
      <c r="C147" s="167"/>
      <c r="D147" s="167"/>
      <c r="E147" s="168" t="s">
        <v>23</v>
      </c>
      <c r="F147" s="169"/>
      <c r="G147" s="170"/>
      <c r="H147" s="170"/>
      <c r="I147" s="171"/>
      <c r="J147" s="156"/>
      <c r="K147" s="156"/>
      <c r="L147" s="156"/>
      <c r="M147" s="157">
        <f>SUM(M6:M146)</f>
        <v>0</v>
      </c>
      <c r="N147" s="157">
        <f>SUM(N143:N146)</f>
        <v>0</v>
      </c>
      <c r="P147" s="71"/>
    </row>
    <row r="148" spans="1:16" ht="16.5" thickBot="1" x14ac:dyDescent="0.25">
      <c r="A148" s="173" t="s">
        <v>24</v>
      </c>
      <c r="B148" s="174"/>
      <c r="C148" s="174"/>
      <c r="D148" s="174"/>
      <c r="E148" s="175"/>
      <c r="F148" s="176"/>
      <c r="G148" s="177"/>
      <c r="H148" s="178"/>
      <c r="I148" s="174"/>
      <c r="J148" s="179"/>
      <c r="K148" s="179"/>
      <c r="L148" s="179"/>
      <c r="M148" s="181">
        <v>0.2</v>
      </c>
      <c r="N148" s="180">
        <f>N147*M148</f>
        <v>0</v>
      </c>
    </row>
    <row r="149" spans="1:16" ht="16.5" thickBot="1" x14ac:dyDescent="0.25">
      <c r="A149" s="158" t="s">
        <v>36</v>
      </c>
      <c r="B149" s="159"/>
      <c r="C149" s="159"/>
      <c r="D149" s="159"/>
      <c r="E149" s="160"/>
      <c r="F149" s="161"/>
      <c r="G149" s="162"/>
      <c r="H149" s="163"/>
      <c r="I149" s="159"/>
      <c r="J149" s="164"/>
      <c r="K149" s="164"/>
      <c r="L149" s="164"/>
      <c r="M149" s="182">
        <v>0.05</v>
      </c>
      <c r="N149" s="165">
        <f>N147*M149</f>
        <v>0</v>
      </c>
    </row>
    <row r="150" spans="1:16" ht="16.5" thickBot="1" x14ac:dyDescent="0.25">
      <c r="A150" s="205" t="s">
        <v>41</v>
      </c>
      <c r="B150" s="206"/>
      <c r="C150" s="206"/>
      <c r="D150" s="206"/>
      <c r="E150" s="207"/>
      <c r="F150" s="208"/>
      <c r="G150" s="209"/>
      <c r="H150" s="209"/>
      <c r="I150" s="210"/>
      <c r="J150" s="211"/>
      <c r="K150" s="211"/>
      <c r="L150" s="211"/>
      <c r="M150" s="212"/>
      <c r="N150" s="213">
        <f>SUM(N147:N149)</f>
        <v>0</v>
      </c>
      <c r="P150" s="71"/>
    </row>
    <row r="151" spans="1:16" x14ac:dyDescent="0.2">
      <c r="A151" s="214" t="s">
        <v>39</v>
      </c>
      <c r="B151" s="215"/>
      <c r="C151" s="215"/>
      <c r="D151" s="215"/>
      <c r="E151" s="216"/>
      <c r="F151" s="217"/>
      <c r="G151" s="218"/>
      <c r="H151" s="218"/>
      <c r="I151" s="215"/>
      <c r="J151" s="219"/>
      <c r="K151" s="219"/>
      <c r="L151" s="219"/>
      <c r="M151" s="220"/>
      <c r="N151" s="109"/>
    </row>
    <row r="152" spans="1:16" x14ac:dyDescent="0.2">
      <c r="A152" s="139" t="s">
        <v>40</v>
      </c>
      <c r="N152" s="102"/>
    </row>
    <row r="153" spans="1:16" ht="16.5" thickBot="1" x14ac:dyDescent="0.25">
      <c r="A153" s="136"/>
      <c r="B153" s="129"/>
      <c r="C153" s="129"/>
      <c r="D153" s="129"/>
      <c r="E153" s="130"/>
      <c r="F153" s="131"/>
      <c r="G153" s="132"/>
      <c r="H153" s="132"/>
      <c r="I153" s="129"/>
      <c r="J153" s="133"/>
      <c r="K153" s="133"/>
      <c r="L153" s="133"/>
      <c r="M153" s="134"/>
      <c r="N153" s="135"/>
    </row>
  </sheetData>
  <pageMargins left="0.25" right="0.25" top="0.75" bottom="0.75" header="0.3" footer="0.3"/>
  <pageSetup paperSize="9" scale="71" fitToHeight="0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7F2077CE-676A-4C1C-BF19-6264EDBA5EF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BUILDING CONCRETE</vt:lpstr>
      <vt:lpstr>SITE CONCRETE</vt:lpstr>
      <vt:lpstr>'BUILDING CONCRETE'!Print_Area</vt:lpstr>
      <vt:lpstr>'SITE CONCRETE'!Print_Area</vt:lpstr>
      <vt:lpstr>SUMMARY!Print_Area</vt:lpstr>
      <vt:lpstr>'BUILDING CONCRETE'!Print_Titles</vt:lpstr>
      <vt:lpstr>'SITE CONCRETE'!Print_Titles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2023-12-25T14:08:31Z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{7F2077CE-676A-4C1C-BF19-6264EDBA5EFA}</vt:lpwstr>
  </property>
</Properties>
</file>