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7050" tabRatio="822"/>
  </bookViews>
  <sheets>
    <sheet name="DETAILED ESTIMATE" sheetId="14" r:id="rId1"/>
  </sheets>
  <definedNames>
    <definedName name="_xlnm._FilterDatabase" localSheetId="0" hidden="1">'DETAILED ESTIMATE'!$E$1:$E$96</definedName>
    <definedName name="BRICK" localSheetId="0">#REF!</definedName>
    <definedName name="BRICK">#REF!</definedName>
    <definedName name="CARP" localSheetId="0">#REF!</definedName>
    <definedName name="CARP">#REF!</definedName>
    <definedName name="CARPET" localSheetId="0">#REF!</definedName>
    <definedName name="CARPET">#REF!</definedName>
    <definedName name="ELECT" localSheetId="0">#REF!</definedName>
    <definedName name="ELECT">#REF!</definedName>
    <definedName name="FINISH" localSheetId="0">#REF!</definedName>
    <definedName name="FINISH">#REF!</definedName>
    <definedName name="GLAZER" localSheetId="0">#REF!</definedName>
    <definedName name="GLAZER">#REF!</definedName>
    <definedName name="IRON" localSheetId="0">#REF!</definedName>
    <definedName name="IRON">#REF!</definedName>
    <definedName name="LABOR" localSheetId="0">#REF!</definedName>
    <definedName name="LABOR">#REF!</definedName>
    <definedName name="OPER" localSheetId="0">#REF!</definedName>
    <definedName name="OPER">#REF!</definedName>
    <definedName name="PAINT" localSheetId="0">#REF!</definedName>
    <definedName name="PAINT">#REF!</definedName>
    <definedName name="PAR" localSheetId="0">#REF!</definedName>
    <definedName name="PAR">#REF!</definedName>
    <definedName name="PLUMB" localSheetId="0">#REF!</definedName>
    <definedName name="PLUMB">#REF!</definedName>
    <definedName name="_xlnm.Print_Area" localSheetId="0">'DETAILED ESTIMATE'!$A$1:$R$96</definedName>
    <definedName name="Print_Area_MI" localSheetId="0">#REF!</definedName>
    <definedName name="Print_Area_MI">#REF!</definedName>
    <definedName name="_xlnm.Print_Titles" localSheetId="0">'DETAILED ESTIMATE'!$1:$6</definedName>
    <definedName name="ROOF" localSheetId="0">#REF!</definedName>
    <definedName name="ROOF">#REF!</definedName>
    <definedName name="SM" localSheetId="0">#REF!</definedName>
    <definedName name="SM">#REF!</definedName>
    <definedName name="SPRINKLER" localSheetId="0">#REF!</definedName>
    <definedName name="SPRINKLER">#REF!</definedName>
  </definedNames>
  <calcPr calcId="162913"/>
</workbook>
</file>

<file path=xl/calcChain.xml><?xml version="1.0" encoding="utf-8"?>
<calcChain xmlns="http://schemas.openxmlformats.org/spreadsheetml/2006/main">
  <c r="A17" i="14" l="1"/>
  <c r="A20" i="14"/>
  <c r="A21" i="14"/>
  <c r="A23" i="14"/>
  <c r="A24" i="14"/>
  <c r="A25" i="14"/>
  <c r="A26" i="14"/>
  <c r="A28" i="14"/>
  <c r="A29" i="14"/>
  <c r="A30" i="14"/>
  <c r="A31" i="14"/>
  <c r="A33" i="14"/>
  <c r="A34" i="14"/>
  <c r="A35" i="14"/>
  <c r="A36" i="14"/>
  <c r="A39" i="14"/>
  <c r="A42" i="14"/>
  <c r="A43" i="14"/>
  <c r="A45" i="14"/>
  <c r="A46" i="14"/>
  <c r="A47" i="14"/>
  <c r="A48" i="14"/>
  <c r="A51" i="14"/>
  <c r="A54" i="14"/>
  <c r="A55" i="14"/>
  <c r="A57" i="14"/>
  <c r="A58" i="14"/>
  <c r="A59" i="14"/>
  <c r="A60" i="14"/>
  <c r="A63" i="14"/>
  <c r="A66" i="14"/>
  <c r="A67" i="14"/>
  <c r="A70" i="14"/>
  <c r="A73" i="14"/>
  <c r="A75" i="14"/>
  <c r="A76" i="14"/>
  <c r="A77" i="14"/>
  <c r="A78" i="14"/>
  <c r="A80" i="14"/>
  <c r="A81" i="14"/>
  <c r="A82" i="14"/>
  <c r="A83" i="14"/>
  <c r="A85" i="14"/>
  <c r="J40" i="14" l="1"/>
  <c r="K40" i="14"/>
  <c r="J52" i="14"/>
  <c r="K52" i="14"/>
  <c r="J64" i="14"/>
  <c r="K64" i="14"/>
  <c r="J38" i="14"/>
  <c r="K38" i="14"/>
  <c r="J50" i="14"/>
  <c r="K50" i="14"/>
  <c r="J62" i="14"/>
  <c r="K62" i="14"/>
  <c r="J41" i="14"/>
  <c r="K41" i="14"/>
  <c r="J53" i="14"/>
  <c r="K53" i="14"/>
  <c r="J65" i="14"/>
  <c r="K65" i="14"/>
  <c r="J37" i="14"/>
  <c r="K37" i="14"/>
  <c r="J49" i="14"/>
  <c r="K49" i="14"/>
  <c r="J61" i="14"/>
  <c r="K61" i="14"/>
  <c r="J22" i="14"/>
  <c r="K22" i="14"/>
  <c r="J44" i="14"/>
  <c r="K44" i="14"/>
  <c r="J56" i="14"/>
  <c r="K56" i="14"/>
  <c r="A11" i="14" l="1"/>
  <c r="A12" i="14"/>
  <c r="A13" i="14"/>
  <c r="A14" i="14"/>
  <c r="A86" i="14"/>
  <c r="A9" i="14"/>
  <c r="F79" i="14"/>
  <c r="H70" i="14"/>
  <c r="F71" i="14"/>
  <c r="H71" i="14" s="1"/>
  <c r="P71" i="14" s="1"/>
  <c r="F69" i="14"/>
  <c r="H69" i="14" s="1"/>
  <c r="F68" i="14"/>
  <c r="F74" i="14"/>
  <c r="F72" i="14"/>
  <c r="H72" i="14" s="1"/>
  <c r="P72" i="14" s="1"/>
  <c r="M71" i="14"/>
  <c r="M69" i="14"/>
  <c r="M68" i="14"/>
  <c r="M65" i="14"/>
  <c r="F65" i="14"/>
  <c r="M64" i="14"/>
  <c r="F64" i="14"/>
  <c r="H64" i="14" s="1"/>
  <c r="P64" i="14" s="1"/>
  <c r="H63" i="14"/>
  <c r="M62" i="14"/>
  <c r="F62" i="14"/>
  <c r="M61" i="14"/>
  <c r="F61" i="14"/>
  <c r="H61" i="14" s="1"/>
  <c r="O61" i="14" s="1"/>
  <c r="F56" i="14"/>
  <c r="H74" i="14"/>
  <c r="P74" i="14" s="1"/>
  <c r="H51" i="14"/>
  <c r="F53" i="14"/>
  <c r="F52" i="14"/>
  <c r="F50" i="14"/>
  <c r="F49" i="14"/>
  <c r="F44" i="14"/>
  <c r="F41" i="14"/>
  <c r="F40" i="14"/>
  <c r="H39" i="14"/>
  <c r="F38" i="14"/>
  <c r="F37" i="14"/>
  <c r="F32" i="14"/>
  <c r="F27" i="14"/>
  <c r="F22" i="14"/>
  <c r="F19" i="14"/>
  <c r="H17" i="14"/>
  <c r="F18" i="14"/>
  <c r="F16" i="14"/>
  <c r="F15" i="14"/>
  <c r="H15" i="14" s="1"/>
  <c r="P15" i="14" s="1"/>
  <c r="F10" i="14"/>
  <c r="H10" i="14" s="1"/>
  <c r="N10" i="14" s="1"/>
  <c r="H50" i="14"/>
  <c r="P50" i="14" s="1"/>
  <c r="M19" i="14"/>
  <c r="M18" i="14"/>
  <c r="M16" i="14"/>
  <c r="M15" i="14"/>
  <c r="M10" i="14"/>
  <c r="M74" i="14"/>
  <c r="M72" i="14"/>
  <c r="H40" i="14"/>
  <c r="P40" i="14" s="1"/>
  <c r="H37" i="14"/>
  <c r="H52" i="14" l="1"/>
  <c r="P52" i="14" s="1"/>
  <c r="H56" i="14"/>
  <c r="H59" i="14" s="1"/>
  <c r="H62" i="14"/>
  <c r="O62" i="14" s="1"/>
  <c r="H19" i="14"/>
  <c r="P19" i="14" s="1"/>
  <c r="H16" i="14"/>
  <c r="P16" i="14" s="1"/>
  <c r="H38" i="14"/>
  <c r="P38" i="14" s="1"/>
  <c r="H44" i="14"/>
  <c r="H47" i="14" s="1"/>
  <c r="H65" i="14"/>
  <c r="O65" i="14" s="1"/>
  <c r="H18" i="14"/>
  <c r="P18" i="14" s="1"/>
  <c r="H49" i="14"/>
  <c r="P49" i="14" s="1"/>
  <c r="M53" i="14"/>
  <c r="M37" i="14"/>
  <c r="Q37" i="14" s="1"/>
  <c r="O52" i="14"/>
  <c r="O40" i="14"/>
  <c r="O38" i="14"/>
  <c r="O49" i="14"/>
  <c r="O37" i="14"/>
  <c r="M27" i="14"/>
  <c r="N52" i="14"/>
  <c r="M50" i="14"/>
  <c r="Q50" i="14" s="1"/>
  <c r="N44" i="14"/>
  <c r="Q71" i="14"/>
  <c r="N71" i="14"/>
  <c r="O71" i="14"/>
  <c r="N69" i="14"/>
  <c r="O69" i="14"/>
  <c r="Q69" i="14"/>
  <c r="P69" i="14"/>
  <c r="H68" i="14"/>
  <c r="Q68" i="14" s="1"/>
  <c r="Q61" i="14"/>
  <c r="Q64" i="14"/>
  <c r="Q65" i="14"/>
  <c r="Q62" i="14"/>
  <c r="N64" i="14"/>
  <c r="N65" i="14"/>
  <c r="H53" i="14"/>
  <c r="P53" i="14" s="1"/>
  <c r="P65" i="14"/>
  <c r="P61" i="14"/>
  <c r="P62" i="14"/>
  <c r="H60" i="14"/>
  <c r="O64" i="14"/>
  <c r="P56" i="14"/>
  <c r="N56" i="14"/>
  <c r="N61" i="14"/>
  <c r="N62" i="14"/>
  <c r="O72" i="14"/>
  <c r="O56" i="14"/>
  <c r="H57" i="14"/>
  <c r="H58" i="14" s="1"/>
  <c r="Q72" i="14"/>
  <c r="N19" i="14"/>
  <c r="N74" i="14"/>
  <c r="N15" i="14"/>
  <c r="H27" i="14"/>
  <c r="H31" i="14" s="1"/>
  <c r="N50" i="14"/>
  <c r="N37" i="14"/>
  <c r="Q16" i="14"/>
  <c r="O16" i="14"/>
  <c r="N72" i="14"/>
  <c r="Q10" i="14"/>
  <c r="O15" i="14"/>
  <c r="N16" i="14"/>
  <c r="O50" i="14"/>
  <c r="H11" i="14"/>
  <c r="H12" i="14" s="1"/>
  <c r="O10" i="14"/>
  <c r="Q74" i="14"/>
  <c r="H13" i="14"/>
  <c r="Q15" i="14"/>
  <c r="Q18" i="14"/>
  <c r="N49" i="14"/>
  <c r="P44" i="14"/>
  <c r="H48" i="14"/>
  <c r="O44" i="14"/>
  <c r="H45" i="14"/>
  <c r="H46" i="14" s="1"/>
  <c r="P10" i="14"/>
  <c r="O18" i="14"/>
  <c r="H14" i="14"/>
  <c r="O74" i="14"/>
  <c r="N40" i="14"/>
  <c r="P37" i="14"/>
  <c r="N18" i="14" l="1"/>
  <c r="Q19" i="14"/>
  <c r="O19" i="14"/>
  <c r="H28" i="14"/>
  <c r="H29" i="14" s="1"/>
  <c r="M38" i="14"/>
  <c r="Q38" i="14" s="1"/>
  <c r="O27" i="14"/>
  <c r="O68" i="14"/>
  <c r="N38" i="14"/>
  <c r="M44" i="14"/>
  <c r="Q44" i="14" s="1"/>
  <c r="M52" i="14"/>
  <c r="Q52" i="14" s="1"/>
  <c r="M40" i="14"/>
  <c r="Q40" i="14" s="1"/>
  <c r="M56" i="14"/>
  <c r="Q56" i="14" s="1"/>
  <c r="M49" i="14"/>
  <c r="Q49" i="14" s="1"/>
  <c r="P27" i="14"/>
  <c r="N27" i="14"/>
  <c r="H30" i="14"/>
  <c r="N53" i="14"/>
  <c r="O53" i="14"/>
  <c r="Q53" i="14"/>
  <c r="P68" i="14"/>
  <c r="N68" i="14"/>
  <c r="Q27" i="14"/>
  <c r="M84" i="14"/>
  <c r="M41" i="14"/>
  <c r="M22" i="14"/>
  <c r="M79" i="14"/>
  <c r="M32" i="14"/>
  <c r="A7" i="14" l="1"/>
  <c r="A8" i="14"/>
  <c r="H41" i="14"/>
  <c r="H32" i="14"/>
  <c r="H22" i="14"/>
  <c r="A10" i="14" l="1"/>
  <c r="A15" i="14" s="1"/>
  <c r="H26" i="14"/>
  <c r="O22" i="14"/>
  <c r="N22" i="14"/>
  <c r="P22" i="14"/>
  <c r="Q22" i="14"/>
  <c r="H36" i="14"/>
  <c r="O32" i="14"/>
  <c r="P32" i="14"/>
  <c r="N32" i="14"/>
  <c r="Q32" i="14"/>
  <c r="O41" i="14"/>
  <c r="N41" i="14"/>
  <c r="P41" i="14"/>
  <c r="Q41" i="14"/>
  <c r="H35" i="14"/>
  <c r="H33" i="14"/>
  <c r="H34" i="14" s="1"/>
  <c r="H23" i="14"/>
  <c r="H24" i="14" s="1"/>
  <c r="H25" i="14"/>
  <c r="A87" i="14"/>
  <c r="H84" i="14"/>
  <c r="H79" i="14"/>
  <c r="A16" i="14" l="1"/>
  <c r="A18" i="14"/>
  <c r="O84" i="14"/>
  <c r="O86" i="14" s="1"/>
  <c r="P84" i="14"/>
  <c r="P86" i="14" s="1"/>
  <c r="N84" i="14"/>
  <c r="N86" i="14" s="1"/>
  <c r="Q84" i="14"/>
  <c r="R86" i="14" s="1"/>
  <c r="O79" i="14"/>
  <c r="O81" i="14" s="1"/>
  <c r="N79" i="14"/>
  <c r="N81" i="14" s="1"/>
  <c r="P79" i="14"/>
  <c r="P81" i="14" s="1"/>
  <c r="Q79" i="14"/>
  <c r="R81" i="14" s="1"/>
  <c r="A22" i="14" l="1"/>
  <c r="A27" i="14" s="1"/>
  <c r="A32" i="14" s="1"/>
  <c r="A37" i="14" s="1"/>
  <c r="A19" i="14"/>
  <c r="Q90" i="14"/>
  <c r="Q92" i="14" s="1"/>
  <c r="Q93" i="14"/>
  <c r="N76" i="14"/>
  <c r="N88" i="14" s="1"/>
  <c r="P76" i="14"/>
  <c r="O76" i="14"/>
  <c r="O89" i="14" s="1"/>
  <c r="R76" i="14"/>
  <c r="R90" i="14" s="1"/>
  <c r="A38" i="14" l="1"/>
  <c r="A40" i="14" s="1"/>
  <c r="A49" i="14"/>
  <c r="A50" i="14" s="1"/>
  <c r="A52" i="14" s="1"/>
  <c r="A53" i="14" s="1"/>
  <c r="A56" i="14" s="1"/>
  <c r="A61" i="14" s="1"/>
  <c r="A62" i="14" s="1"/>
  <c r="A64" i="14" s="1"/>
  <c r="A41" i="14"/>
  <c r="A44" i="14"/>
  <c r="R93" i="14"/>
  <c r="R91" i="14"/>
  <c r="Q91" i="14"/>
  <c r="Q94" i="14" s="1"/>
  <c r="R92" i="14"/>
  <c r="A65" i="14" l="1"/>
  <c r="A68" i="14" s="1"/>
  <c r="A69" i="14" s="1"/>
  <c r="A71" i="14" s="1"/>
  <c r="A72" i="14" s="1"/>
  <c r="A74" i="14" s="1"/>
  <c r="A79" i="14" s="1"/>
  <c r="A84" i="14" s="1"/>
  <c r="R94" i="14"/>
  <c r="C5" i="14" s="1"/>
</calcChain>
</file>

<file path=xl/sharedStrings.xml><?xml version="1.0" encoding="utf-8"?>
<sst xmlns="http://schemas.openxmlformats.org/spreadsheetml/2006/main" count="223" uniqueCount="79">
  <si>
    <t>UNIT</t>
  </si>
  <si>
    <t>DESCRIPTION</t>
  </si>
  <si>
    <t>TOTAL BASE BID</t>
  </si>
  <si>
    <t>WASTE</t>
  </si>
  <si>
    <t>QTY. W/ WASTE</t>
  </si>
  <si>
    <t>TOTAL COST</t>
  </si>
  <si>
    <t>PROJECT</t>
  </si>
  <si>
    <t>ADDRESS</t>
  </si>
  <si>
    <t>Date of submission</t>
  </si>
  <si>
    <t>Date of plans</t>
  </si>
  <si>
    <t>SR #</t>
  </si>
  <si>
    <t>SUB TOTALS</t>
  </si>
  <si>
    <t>SUB - TOTAL</t>
  </si>
  <si>
    <t>LF</t>
  </si>
  <si>
    <t>Sheet
No.</t>
  </si>
  <si>
    <t>Detail
No.</t>
  </si>
  <si>
    <t>SF</t>
  </si>
  <si>
    <t>CSI
No.</t>
  </si>
  <si>
    <t>FINISHES</t>
  </si>
  <si>
    <t>Exculsions</t>
  </si>
  <si>
    <t xml:space="preserve">4'x8' GB Sheet </t>
  </si>
  <si>
    <t>Sheets</t>
  </si>
  <si>
    <t>500' Tape Roll</t>
  </si>
  <si>
    <t>Rolls</t>
  </si>
  <si>
    <t>Joint Compound</t>
  </si>
  <si>
    <t>Gallons</t>
  </si>
  <si>
    <t>1-1/4" Drywall Screws</t>
  </si>
  <si>
    <t>Pounds</t>
  </si>
  <si>
    <t>DRYWALL ASSEMBLIES</t>
  </si>
  <si>
    <t>Drywall Assemblies Sub Total</t>
  </si>
  <si>
    <t>GWB CEILING</t>
  </si>
  <si>
    <t>GWB Ceiling Sub Total</t>
  </si>
  <si>
    <t>Anything Not Mentioned Above</t>
  </si>
  <si>
    <t xml:space="preserve">TOTAL BASE BID </t>
  </si>
  <si>
    <t>QTY.</t>
  </si>
  <si>
    <t>REV(0)</t>
  </si>
  <si>
    <t xml:space="preserve">Sealant @ Top &amp; Bottom </t>
  </si>
  <si>
    <t>ACT CEILING</t>
  </si>
  <si>
    <t>ACT Ceiling Sub Total</t>
  </si>
  <si>
    <t>UNIT COST
(Material)</t>
  </si>
  <si>
    <t xml:space="preserve">UNIT COST
(Labor) </t>
  </si>
  <si>
    <t>SUB
COST</t>
  </si>
  <si>
    <t>TOTAL UNIT COST</t>
  </si>
  <si>
    <t>MATERIAL SUB TOTAL</t>
  </si>
  <si>
    <t>LABOR SUB TOTAL</t>
  </si>
  <si>
    <t>SUB CONTR. TOTAL</t>
  </si>
  <si>
    <t>CONTINGENCY &amp; ESCALATION</t>
  </si>
  <si>
    <t>TOTAL LABOR</t>
  </si>
  <si>
    <t>TOTAL MATERIAL</t>
  </si>
  <si>
    <t>SALES TAX</t>
  </si>
  <si>
    <t>1 Layer of 5/8" Gypsum Board On Both Sides of Wall</t>
  </si>
  <si>
    <t>1 Layer of 5/8" Moisture Resistant Gypsum Board On One Side of Wall</t>
  </si>
  <si>
    <t>1 Layer of 5/8" Gypsum Board On One Side of Wall</t>
  </si>
  <si>
    <t>OVERHEAD &amp; PROFIT</t>
  </si>
  <si>
    <t>WALL TYPE - 1</t>
  </si>
  <si>
    <t>Wall Types/A400</t>
  </si>
  <si>
    <t>A101</t>
  </si>
  <si>
    <t>A102</t>
  </si>
  <si>
    <t>WALL TYPE - 2</t>
  </si>
  <si>
    <t>1 Layer of 1/2" USG Durarock Gypsum Board On One Side of Wall</t>
  </si>
  <si>
    <t>Approx. Quantity of Studs</t>
  </si>
  <si>
    <t>EA</t>
  </si>
  <si>
    <t>WALL TYPE - 1A</t>
  </si>
  <si>
    <t>WALL TYPE - 2A</t>
  </si>
  <si>
    <t>DETAIL 1/A402</t>
  </si>
  <si>
    <t>Detail 1/A402</t>
  </si>
  <si>
    <t>3/4" MDF Plywood Panels</t>
  </si>
  <si>
    <t>20GA. 1-5/8" Metal Tracks @ Top &amp; Bottom</t>
  </si>
  <si>
    <t>20GA. 1-5/8" Metal Studs @ 16" O.C.</t>
  </si>
  <si>
    <t>20GA. 2-1/2" Metal Tracks @ Top &amp; Bottom</t>
  </si>
  <si>
    <t>20GA. 2-1/2" Metal Studs @ 16" O.C.</t>
  </si>
  <si>
    <t>20GA. 3-5/8" Metal Diagonal Bracing @ 48" O.C.</t>
  </si>
  <si>
    <t>20GA. 3-5/8" Metal Tracks @ Top &amp; Bottom</t>
  </si>
  <si>
    <t>20GA. 3-5/8" Metal Studs @ 16" O.C.</t>
  </si>
  <si>
    <r>
      <rPr>
        <b/>
        <sz val="12"/>
        <rFont val="Calibri"/>
        <family val="2"/>
        <scheme val="minor"/>
      </rPr>
      <t>Gypsum Board Ceiling As;</t>
    </r>
    <r>
      <rPr>
        <sz val="12"/>
        <rFont val="Calibri"/>
        <family val="2"/>
        <scheme val="minor"/>
      </rPr>
      <t xml:space="preserve">
- 1 Layer of 5/8" Gypsum Board Ceiling 
- 1-1/2" Channels @ 4'-0" O.C. Max.
- 7/8" Furring Channels
- Metal Furring Clips
- Hanger Wire @ 4'-0" O.C. Max.</t>
    </r>
  </si>
  <si>
    <t>Ceiling Detail/A403</t>
  </si>
  <si>
    <t>Finish Schedule/G009</t>
  </si>
  <si>
    <r>
      <t xml:space="preserve">AC-5 ACT Ceiling Tiles
</t>
    </r>
    <r>
      <rPr>
        <sz val="12"/>
        <rFont val="Calibri"/>
        <family val="2"/>
        <scheme val="minor"/>
      </rPr>
      <t>Size: 2'-0" x 2'-0" Tegular Tile W/ 15/16" Grid
Manufacturer: Armstrong
Model/Color: Lyra Tegular, 2'X2'X5/8" #8360PB
Blizzard White 15/16" Exposed Tee Grid System Main Beam #7301ZW; 2'-0" Cross Tee #XL7328ZW; 4'-0" Cross Tee #XL7342ZW; Wall Angle #7800ZW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</si>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</sst>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0_);_(&quot;$&quot;* \(#,##0.00\);_(&quot;$&quot;* &quot;-&quot;?_);_(@_)"/>
    <numFmt numFmtId="168" formatCode="_(* #,##0_);_(* \(#,##0\);_(* &quot;-&quot;??_);_(@_)"/>
  </numFmts>
  <fonts count="4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Arial"/>
      <family val="2"/>
    </font>
    <font>
      <sz val="12"/>
      <name val="Arial"/>
      <family val="2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8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5" fillId="0" borderId="0" xfId="0" applyFont="1" applyFill="1" applyBorder="1" applyAlignment="1">
      <alignment vertical="top"/>
    </xf>
    <xf numFmtId="0" fontId="25" fillId="24" borderId="10" xfId="0" applyFont="1" applyFill="1" applyBorder="1" applyAlignment="1" applyProtection="1">
      <alignment horizontal="center" vertical="top" wrapText="1"/>
    </xf>
    <xf numFmtId="41" fontId="25" fillId="0" borderId="10" xfId="0" applyNumberFormat="1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11" xfId="0" applyFont="1" applyFill="1" applyBorder="1" applyAlignment="1">
      <alignment vertical="top"/>
    </xf>
    <xf numFmtId="0" fontId="25" fillId="0" borderId="12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2" fontId="25" fillId="0" borderId="0" xfId="0" applyNumberFormat="1" applyFont="1" applyBorder="1" applyAlignment="1">
      <alignment horizontal="center" vertical="top" wrapText="1"/>
    </xf>
    <xf numFmtId="164" fontId="25" fillId="0" borderId="0" xfId="0" applyNumberFormat="1" applyFont="1" applyBorder="1" applyAlignment="1">
      <alignment vertical="top"/>
    </xf>
    <xf numFmtId="0" fontId="29" fillId="0" borderId="0" xfId="0" applyFont="1" applyFill="1" applyBorder="1" applyAlignment="1">
      <alignment horizontal="center" vertical="top" wrapText="1"/>
    </xf>
    <xf numFmtId="0" fontId="30" fillId="25" borderId="0" xfId="0" applyFont="1" applyFill="1" applyBorder="1" applyAlignment="1">
      <alignment vertical="top"/>
    </xf>
    <xf numFmtId="2" fontId="25" fillId="0" borderId="0" xfId="0" applyNumberFormat="1" applyFont="1" applyBorder="1" applyAlignment="1">
      <alignment horizontal="left" vertical="top" wrapText="1"/>
    </xf>
    <xf numFmtId="1" fontId="25" fillId="0" borderId="15" xfId="0" applyNumberFormat="1" applyFont="1" applyFill="1" applyBorder="1" applyAlignment="1">
      <alignment horizontal="center" vertical="top"/>
    </xf>
    <xf numFmtId="0" fontId="25" fillId="24" borderId="0" xfId="0" applyFont="1" applyFill="1" applyBorder="1" applyAlignment="1">
      <alignment vertical="top"/>
    </xf>
    <xf numFmtId="2" fontId="25" fillId="24" borderId="0" xfId="0" applyNumberFormat="1" applyFont="1" applyFill="1" applyBorder="1" applyAlignment="1">
      <alignment horizontal="center" vertical="top"/>
    </xf>
    <xf numFmtId="1" fontId="25" fillId="0" borderId="0" xfId="0" applyNumberFormat="1" applyFont="1" applyBorder="1" applyAlignment="1">
      <alignment horizontal="center" vertical="top" wrapText="1"/>
    </xf>
    <xf numFmtId="0" fontId="25" fillId="26" borderId="17" xfId="0" applyFont="1" applyFill="1" applyBorder="1" applyAlignment="1">
      <alignment vertical="top"/>
    </xf>
    <xf numFmtId="9" fontId="25" fillId="0" borderId="15" xfId="0" applyNumberFormat="1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6" fillId="26" borderId="17" xfId="0" applyFont="1" applyFill="1" applyBorder="1" applyAlignment="1">
      <alignment vertical="top"/>
    </xf>
    <xf numFmtId="14" fontId="25" fillId="24" borderId="0" xfId="0" applyNumberFormat="1" applyFont="1" applyFill="1" applyBorder="1" applyAlignment="1">
      <alignment horizontal="left" vertical="top"/>
    </xf>
    <xf numFmtId="1" fontId="25" fillId="26" borderId="17" xfId="0" applyNumberFormat="1" applyFont="1" applyFill="1" applyBorder="1" applyAlignment="1">
      <alignment horizontal="center" vertical="top"/>
    </xf>
    <xf numFmtId="0" fontId="25" fillId="24" borderId="15" xfId="0" applyFont="1" applyFill="1" applyBorder="1" applyAlignment="1" applyProtection="1">
      <alignment horizontal="center" vertical="top" wrapText="1"/>
    </xf>
    <xf numFmtId="41" fontId="25" fillId="24" borderId="10" xfId="0" applyNumberFormat="1" applyFont="1" applyFill="1" applyBorder="1" applyAlignment="1">
      <alignment horizontal="center" vertical="top"/>
    </xf>
    <xf numFmtId="0" fontId="25" fillId="24" borderId="10" xfId="0" applyFont="1" applyFill="1" applyBorder="1" applyAlignment="1">
      <alignment horizontal="center" vertical="top"/>
    </xf>
    <xf numFmtId="1" fontId="25" fillId="24" borderId="15" xfId="0" applyNumberFormat="1" applyFont="1" applyFill="1" applyBorder="1" applyAlignment="1" applyProtection="1">
      <alignment horizontal="right" vertical="top"/>
    </xf>
    <xf numFmtId="0" fontId="25" fillId="24" borderId="28" xfId="0" applyFont="1" applyFill="1" applyBorder="1" applyAlignment="1" applyProtection="1">
      <alignment horizontal="center" vertical="top" wrapText="1"/>
    </xf>
    <xf numFmtId="41" fontId="25" fillId="24" borderId="18" xfId="0" applyNumberFormat="1" applyFont="1" applyFill="1" applyBorder="1" applyAlignment="1">
      <alignment horizontal="center" vertical="top"/>
    </xf>
    <xf numFmtId="9" fontId="25" fillId="24" borderId="18" xfId="0" applyNumberFormat="1" applyFont="1" applyFill="1" applyBorder="1" applyAlignment="1">
      <alignment horizontal="center" vertical="top"/>
    </xf>
    <xf numFmtId="0" fontId="25" fillId="24" borderId="18" xfId="0" applyFont="1" applyFill="1" applyBorder="1" applyAlignment="1">
      <alignment horizontal="center" vertical="top"/>
    </xf>
    <xf numFmtId="0" fontId="26" fillId="26" borderId="17" xfId="0" applyFont="1" applyFill="1" applyBorder="1" applyAlignment="1">
      <alignment horizontal="left" vertical="top"/>
    </xf>
    <xf numFmtId="2" fontId="26" fillId="0" borderId="10" xfId="0" applyNumberFormat="1" applyFont="1" applyFill="1" applyBorder="1" applyAlignment="1">
      <alignment horizontal="right" vertical="top" wrapText="1"/>
    </xf>
    <xf numFmtId="0" fontId="25" fillId="26" borderId="24" xfId="0" applyFont="1" applyFill="1" applyBorder="1" applyAlignment="1">
      <alignment vertical="top" wrapText="1"/>
    </xf>
    <xf numFmtId="0" fontId="25" fillId="0" borderId="0" xfId="0" applyFont="1" applyBorder="1" applyAlignment="1">
      <alignment horizontal="center" vertical="top" wrapText="1"/>
    </xf>
    <xf numFmtId="0" fontId="25" fillId="26" borderId="25" xfId="0" applyFont="1" applyFill="1" applyBorder="1" applyAlignment="1">
      <alignment vertical="top"/>
    </xf>
    <xf numFmtId="165" fontId="25" fillId="24" borderId="30" xfId="0" applyNumberFormat="1" applyFont="1" applyFill="1" applyBorder="1" applyAlignment="1">
      <alignment horizontal="center" vertical="top"/>
    </xf>
    <xf numFmtId="44" fontId="26" fillId="24" borderId="0" xfId="0" applyNumberFormat="1" applyFont="1" applyFill="1" applyBorder="1" applyAlignment="1">
      <alignment horizontal="left" vertical="top"/>
    </xf>
    <xf numFmtId="44" fontId="25" fillId="26" borderId="17" xfId="55" applyNumberFormat="1" applyFont="1" applyFill="1" applyBorder="1" applyAlignment="1">
      <alignment vertical="top"/>
    </xf>
    <xf numFmtId="44" fontId="25" fillId="24" borderId="18" xfId="0" applyNumberFormat="1" applyFont="1" applyFill="1" applyBorder="1" applyAlignment="1" applyProtection="1">
      <alignment horizontal="center" vertical="top"/>
    </xf>
    <xf numFmtId="44" fontId="25" fillId="0" borderId="0" xfId="56" applyNumberFormat="1" applyFont="1" applyBorder="1" applyAlignment="1">
      <alignment horizontal="center" vertical="top"/>
    </xf>
    <xf numFmtId="44" fontId="25" fillId="24" borderId="10" xfId="55" applyNumberFormat="1" applyFont="1" applyFill="1" applyBorder="1" applyAlignment="1">
      <alignment horizontal="center" vertical="top"/>
    </xf>
    <xf numFmtId="44" fontId="29" fillId="29" borderId="17" xfId="56" applyNumberFormat="1" applyFont="1" applyFill="1" applyBorder="1" applyAlignment="1">
      <alignment horizontal="center" vertical="top"/>
    </xf>
    <xf numFmtId="0" fontId="29" fillId="29" borderId="14" xfId="0" applyFont="1" applyFill="1" applyBorder="1" applyAlignment="1">
      <alignment horizontal="center" vertical="top" wrapText="1"/>
    </xf>
    <xf numFmtId="0" fontId="29" fillId="29" borderId="14" xfId="0" applyFont="1" applyFill="1" applyBorder="1" applyAlignment="1">
      <alignment horizontal="center" vertical="top"/>
    </xf>
    <xf numFmtId="2" fontId="29" fillId="29" borderId="14" xfId="0" applyNumberFormat="1" applyFont="1" applyFill="1" applyBorder="1" applyAlignment="1">
      <alignment horizontal="left" vertical="top" wrapText="1"/>
    </xf>
    <xf numFmtId="1" fontId="29" fillId="29" borderId="14" xfId="0" applyNumberFormat="1" applyFont="1" applyFill="1" applyBorder="1" applyAlignment="1">
      <alignment horizontal="center" vertical="top"/>
    </xf>
    <xf numFmtId="2" fontId="29" fillId="29" borderId="14" xfId="0" applyNumberFormat="1" applyFont="1" applyFill="1" applyBorder="1" applyAlignment="1">
      <alignment horizontal="center" vertical="top" wrapText="1"/>
    </xf>
    <xf numFmtId="2" fontId="31" fillId="29" borderId="14" xfId="54" applyNumberFormat="1" applyFont="1" applyFill="1" applyBorder="1" applyAlignment="1">
      <alignment horizontal="left" vertical="top"/>
    </xf>
    <xf numFmtId="1" fontId="27" fillId="29" borderId="31" xfId="0" applyNumberFormat="1" applyFont="1" applyFill="1" applyBorder="1" applyAlignment="1">
      <alignment horizontal="left" vertical="top"/>
    </xf>
    <xf numFmtId="1" fontId="27" fillId="29" borderId="11" xfId="0" applyNumberFormat="1" applyFont="1" applyFill="1" applyBorder="1" applyAlignment="1">
      <alignment horizontal="left" vertical="top" wrapText="1"/>
    </xf>
    <xf numFmtId="1" fontId="27" fillId="29" borderId="11" xfId="0" applyNumberFormat="1" applyFont="1" applyFill="1" applyBorder="1" applyAlignment="1">
      <alignment horizontal="left" vertical="top"/>
    </xf>
    <xf numFmtId="0" fontId="29" fillId="29" borderId="11" xfId="0" applyFont="1" applyFill="1" applyBorder="1" applyAlignment="1">
      <alignment horizontal="left" vertical="top" wrapText="1"/>
    </xf>
    <xf numFmtId="1" fontId="29" fillId="29" borderId="11" xfId="0" applyNumberFormat="1" applyFont="1" applyFill="1" applyBorder="1" applyAlignment="1">
      <alignment horizontal="center" vertical="top"/>
    </xf>
    <xf numFmtId="41" fontId="29" fillId="29" borderId="11" xfId="0" applyNumberFormat="1" applyFont="1" applyFill="1" applyBorder="1" applyAlignment="1">
      <alignment horizontal="right" vertical="top"/>
    </xf>
    <xf numFmtId="0" fontId="29" fillId="29" borderId="11" xfId="0" applyFont="1" applyFill="1" applyBorder="1" applyAlignment="1">
      <alignment horizontal="center" vertical="top"/>
    </xf>
    <xf numFmtId="2" fontId="29" fillId="29" borderId="17" xfId="0" applyNumberFormat="1" applyFont="1" applyFill="1" applyBorder="1" applyAlignment="1">
      <alignment horizontal="center" vertical="top"/>
    </xf>
    <xf numFmtId="2" fontId="35" fillId="24" borderId="0" xfId="0" applyNumberFormat="1" applyFont="1" applyFill="1" applyBorder="1" applyAlignment="1">
      <alignment vertical="top"/>
    </xf>
    <xf numFmtId="0" fontId="25" fillId="0" borderId="23" xfId="45" applyFont="1" applyFill="1" applyBorder="1" applyAlignment="1" applyProtection="1">
      <alignment horizontal="center" vertical="top"/>
    </xf>
    <xf numFmtId="0" fontId="25" fillId="24" borderId="10" xfId="45" applyFont="1" applyFill="1" applyBorder="1" applyAlignment="1" applyProtection="1">
      <alignment horizontal="center" vertical="top" wrapText="1"/>
    </xf>
    <xf numFmtId="9" fontId="25" fillId="24" borderId="10" xfId="58" applyFont="1" applyFill="1" applyBorder="1" applyAlignment="1" applyProtection="1">
      <alignment horizontal="center" vertical="top"/>
    </xf>
    <xf numFmtId="41" fontId="25" fillId="0" borderId="10" xfId="45" applyNumberFormat="1" applyFont="1" applyBorder="1" applyAlignment="1">
      <alignment horizontal="center" vertical="top"/>
    </xf>
    <xf numFmtId="0" fontId="25" fillId="0" borderId="10" xfId="45" applyFont="1" applyBorder="1" applyAlignment="1">
      <alignment horizontal="center" vertical="top"/>
    </xf>
    <xf numFmtId="44" fontId="37" fillId="24" borderId="21" xfId="45" applyNumberFormat="1" applyFont="1" applyFill="1" applyBorder="1" applyAlignment="1">
      <alignment vertical="top"/>
    </xf>
    <xf numFmtId="167" fontId="25" fillId="24" borderId="15" xfId="45" applyNumberFormat="1" applyFont="1" applyFill="1" applyBorder="1" applyAlignment="1">
      <alignment horizontal="center" vertical="top"/>
    </xf>
    <xf numFmtId="2" fontId="25" fillId="24" borderId="15" xfId="45" applyNumberFormat="1" applyFont="1" applyFill="1" applyBorder="1" applyAlignment="1">
      <alignment horizontal="left" vertical="top" wrapText="1"/>
    </xf>
    <xf numFmtId="1" fontId="25" fillId="24" borderId="15" xfId="45" applyNumberFormat="1" applyFont="1" applyFill="1" applyBorder="1" applyAlignment="1">
      <alignment horizontal="center" vertical="top"/>
    </xf>
    <xf numFmtId="41" fontId="25" fillId="24" borderId="10" xfId="45" applyNumberFormat="1" applyFont="1" applyFill="1" applyBorder="1" applyAlignment="1">
      <alignment horizontal="center" vertical="top"/>
    </xf>
    <xf numFmtId="0" fontId="25" fillId="24" borderId="10" xfId="45" applyFont="1" applyFill="1" applyBorder="1" applyAlignment="1">
      <alignment horizontal="center" vertical="top"/>
    </xf>
    <xf numFmtId="165" fontId="25" fillId="24" borderId="20" xfId="55" applyNumberFormat="1" applyFont="1" applyFill="1" applyBorder="1" applyAlignment="1">
      <alignment horizontal="center" vertical="top"/>
    </xf>
    <xf numFmtId="0" fontId="37" fillId="24" borderId="0" xfId="45" applyFont="1" applyFill="1" applyAlignment="1">
      <alignment vertical="top"/>
    </xf>
    <xf numFmtId="1" fontId="36" fillId="24" borderId="10" xfId="45" applyNumberFormat="1" applyFont="1" applyFill="1" applyBorder="1" applyAlignment="1">
      <alignment horizontal="right" vertical="top"/>
    </xf>
    <xf numFmtId="2" fontId="26" fillId="24" borderId="11" xfId="45" applyNumberFormat="1" applyFont="1" applyFill="1" applyBorder="1" applyAlignment="1">
      <alignment horizontal="left" vertical="top"/>
    </xf>
    <xf numFmtId="2" fontId="26" fillId="24" borderId="0" xfId="45" applyNumberFormat="1" applyFont="1" applyFill="1" applyBorder="1" applyAlignment="1">
      <alignment horizontal="left" vertical="top"/>
    </xf>
    <xf numFmtId="0" fontId="25" fillId="0" borderId="0" xfId="45" applyFont="1" applyFill="1" applyBorder="1" applyAlignment="1">
      <alignment vertical="top"/>
    </xf>
    <xf numFmtId="14" fontId="35" fillId="24" borderId="21" xfId="45" applyNumberFormat="1" applyFont="1" applyFill="1" applyBorder="1" applyAlignment="1">
      <alignment horizontal="left" vertical="top"/>
    </xf>
    <xf numFmtId="1" fontId="25" fillId="0" borderId="15" xfId="0" applyNumberFormat="1" applyFont="1" applyFill="1" applyBorder="1" applyAlignment="1" applyProtection="1">
      <alignment horizontal="right" vertical="top"/>
    </xf>
    <xf numFmtId="1" fontId="25" fillId="24" borderId="27" xfId="0" applyNumberFormat="1" applyFont="1" applyFill="1" applyBorder="1" applyAlignment="1" applyProtection="1">
      <alignment horizontal="center" vertical="top"/>
    </xf>
    <xf numFmtId="44" fontId="25" fillId="24" borderId="16" xfId="55" applyNumberFormat="1" applyFont="1" applyFill="1" applyBorder="1" applyAlignment="1" applyProtection="1">
      <alignment horizontal="center" vertical="top"/>
    </xf>
    <xf numFmtId="165" fontId="25" fillId="0" borderId="29" xfId="45" applyNumberFormat="1" applyFont="1" applyFill="1" applyBorder="1" applyAlignment="1">
      <alignment horizontal="center" vertical="top"/>
    </xf>
    <xf numFmtId="166" fontId="26" fillId="24" borderId="21" xfId="45" applyNumberFormat="1" applyFont="1" applyFill="1" applyBorder="1" applyAlignment="1" applyProtection="1">
      <alignment horizontal="center" vertical="top"/>
    </xf>
    <xf numFmtId="0" fontId="25" fillId="24" borderId="26" xfId="0" applyFont="1" applyFill="1" applyBorder="1" applyAlignment="1" applyProtection="1">
      <alignment horizontal="center" vertical="top" wrapText="1"/>
    </xf>
    <xf numFmtId="2" fontId="33" fillId="24" borderId="15" xfId="0" applyNumberFormat="1" applyFont="1" applyFill="1" applyBorder="1" applyAlignment="1">
      <alignment horizontal="left" vertical="top" wrapText="1"/>
    </xf>
    <xf numFmtId="41" fontId="25" fillId="0" borderId="15" xfId="0" applyNumberFormat="1" applyFont="1" applyFill="1" applyBorder="1" applyAlignment="1">
      <alignment horizontal="center" vertical="top"/>
    </xf>
    <xf numFmtId="44" fontId="25" fillId="24" borderId="27" xfId="55" applyNumberFormat="1" applyFont="1" applyFill="1" applyBorder="1" applyAlignment="1" applyProtection="1">
      <alignment horizontal="center" vertical="top"/>
    </xf>
    <xf numFmtId="165" fontId="25" fillId="0" borderId="20" xfId="45" applyNumberFormat="1" applyFont="1" applyFill="1" applyBorder="1" applyAlignment="1">
      <alignment horizontal="center" vertical="top"/>
    </xf>
    <xf numFmtId="2" fontId="25" fillId="0" borderId="15" xfId="0" applyNumberFormat="1" applyFont="1" applyFill="1" applyBorder="1" applyAlignment="1">
      <alignment horizontal="left" vertical="top" wrapText="1"/>
    </xf>
    <xf numFmtId="1" fontId="25" fillId="0" borderId="10" xfId="0" applyNumberFormat="1" applyFont="1" applyFill="1" applyBorder="1" applyAlignment="1" applyProtection="1">
      <alignment horizontal="right" vertical="top"/>
    </xf>
    <xf numFmtId="2" fontId="25" fillId="0" borderId="10" xfId="0" applyNumberFormat="1" applyFont="1" applyFill="1" applyBorder="1" applyAlignment="1">
      <alignment horizontal="right" vertical="top" wrapText="1"/>
    </xf>
    <xf numFmtId="1" fontId="25" fillId="0" borderId="10" xfId="0" applyNumberFormat="1" applyFont="1" applyFill="1" applyBorder="1" applyAlignment="1">
      <alignment vertical="top"/>
    </xf>
    <xf numFmtId="9" fontId="25" fillId="24" borderId="10" xfId="0" applyNumberFormat="1" applyFont="1" applyFill="1" applyBorder="1" applyAlignment="1">
      <alignment vertical="top"/>
    </xf>
    <xf numFmtId="168" fontId="25" fillId="24" borderId="10" xfId="0" applyNumberFormat="1" applyFont="1" applyFill="1" applyBorder="1" applyAlignment="1">
      <alignment horizontal="center" vertical="top"/>
    </xf>
    <xf numFmtId="0" fontId="25" fillId="30" borderId="24" xfId="0" applyFont="1" applyFill="1" applyBorder="1" applyAlignment="1" applyProtection="1">
      <alignment horizontal="center" vertical="top" wrapText="1"/>
    </xf>
    <xf numFmtId="2" fontId="26" fillId="30" borderId="17" xfId="0" applyNumberFormat="1" applyFont="1" applyFill="1" applyBorder="1" applyAlignment="1">
      <alignment horizontal="left" vertical="top" wrapText="1"/>
    </xf>
    <xf numFmtId="1" fontId="25" fillId="30" borderId="25" xfId="0" applyNumberFormat="1" applyFont="1" applyFill="1" applyBorder="1" applyAlignment="1">
      <alignment horizontal="center" vertical="top"/>
    </xf>
    <xf numFmtId="9" fontId="25" fillId="0" borderId="26" xfId="0" applyNumberFormat="1" applyFont="1" applyFill="1" applyBorder="1" applyAlignment="1">
      <alignment horizontal="center" vertical="top"/>
    </xf>
    <xf numFmtId="41" fontId="25" fillId="0" borderId="33" xfId="0" applyNumberFormat="1" applyFont="1" applyFill="1" applyBorder="1" applyAlignment="1">
      <alignment horizontal="center" vertical="top"/>
    </xf>
    <xf numFmtId="0" fontId="25" fillId="0" borderId="33" xfId="0" applyFont="1" applyFill="1" applyBorder="1" applyAlignment="1">
      <alignment horizontal="center" vertical="top"/>
    </xf>
    <xf numFmtId="166" fontId="26" fillId="0" borderId="34" xfId="0" applyNumberFormat="1" applyFont="1" applyFill="1" applyBorder="1" applyAlignment="1" applyProtection="1">
      <alignment horizontal="center" vertical="top"/>
    </xf>
    <xf numFmtId="0" fontId="26" fillId="24" borderId="11" xfId="0" applyFont="1" applyFill="1" applyBorder="1" applyAlignment="1">
      <alignment horizontal="left" vertical="top"/>
    </xf>
    <xf numFmtId="44" fontId="26" fillId="24" borderId="11" xfId="0" applyNumberFormat="1" applyFont="1" applyFill="1" applyBorder="1" applyAlignment="1">
      <alignment horizontal="left" vertical="top"/>
    </xf>
    <xf numFmtId="165" fontId="26" fillId="24" borderId="14" xfId="55" applyNumberFormat="1" applyFont="1" applyFill="1" applyBorder="1" applyAlignment="1" applyProtection="1">
      <alignment horizontal="left" vertical="top"/>
    </xf>
    <xf numFmtId="44" fontId="26" fillId="24" borderId="14" xfId="0" applyNumberFormat="1" applyFont="1" applyFill="1" applyBorder="1" applyAlignment="1">
      <alignment horizontal="left" vertical="top"/>
    </xf>
    <xf numFmtId="44" fontId="29" fillId="29" borderId="11" xfId="56" applyNumberFormat="1" applyFont="1" applyFill="1" applyBorder="1" applyAlignment="1">
      <alignment horizontal="center" vertical="top"/>
    </xf>
    <xf numFmtId="166" fontId="27" fillId="29" borderId="32" xfId="0" applyNumberFormat="1" applyFont="1" applyFill="1" applyBorder="1" applyAlignment="1" applyProtection="1">
      <alignment horizontal="center" vertical="top"/>
    </xf>
    <xf numFmtId="44" fontId="29" fillId="29" borderId="14" xfId="56" applyNumberFormat="1" applyFont="1" applyFill="1" applyBorder="1" applyAlignment="1">
      <alignment horizontal="center" vertical="top"/>
    </xf>
    <xf numFmtId="165" fontId="27" fillId="29" borderId="11" xfId="0" applyNumberFormat="1" applyFont="1" applyFill="1" applyBorder="1" applyAlignment="1">
      <alignment horizontal="left" vertical="top"/>
    </xf>
    <xf numFmtId="1" fontId="27" fillId="29" borderId="13" xfId="0" applyNumberFormat="1" applyFont="1" applyFill="1" applyBorder="1" applyAlignment="1">
      <alignment horizontal="left" vertical="top"/>
    </xf>
    <xf numFmtId="165" fontId="27" fillId="29" borderId="22" xfId="0" applyNumberFormat="1" applyFont="1" applyFill="1" applyBorder="1" applyAlignment="1">
      <alignment horizontal="left" vertical="top"/>
    </xf>
    <xf numFmtId="0" fontId="35" fillId="0" borderId="0" xfId="0" applyFont="1" applyFill="1" applyBorder="1" applyAlignment="1">
      <alignment vertical="top" wrapText="1"/>
    </xf>
    <xf numFmtId="1" fontId="38" fillId="31" borderId="24" xfId="0" applyNumberFormat="1" applyFont="1" applyFill="1" applyBorder="1" applyAlignment="1">
      <alignment horizontal="left" vertical="top"/>
    </xf>
    <xf numFmtId="1" fontId="38" fillId="31" borderId="17" xfId="0" applyNumberFormat="1" applyFont="1" applyFill="1" applyBorder="1" applyAlignment="1">
      <alignment horizontal="left" vertical="top" wrapText="1"/>
    </xf>
    <xf numFmtId="1" fontId="38" fillId="31" borderId="17" xfId="0" applyNumberFormat="1" applyFont="1" applyFill="1" applyBorder="1" applyAlignment="1">
      <alignment horizontal="left" vertical="top"/>
    </xf>
    <xf numFmtId="0" fontId="30" fillId="31" borderId="17" xfId="0" applyFont="1" applyFill="1" applyBorder="1" applyAlignment="1">
      <alignment horizontal="left" vertical="top" wrapText="1"/>
    </xf>
    <xf numFmtId="1" fontId="30" fillId="31" borderId="17" xfId="0" applyNumberFormat="1" applyFont="1" applyFill="1" applyBorder="1" applyAlignment="1">
      <alignment horizontal="center" vertical="top"/>
    </xf>
    <xf numFmtId="41" fontId="30" fillId="31" borderId="17" xfId="0" applyNumberFormat="1" applyFont="1" applyFill="1" applyBorder="1" applyAlignment="1">
      <alignment horizontal="right" vertical="top"/>
    </xf>
    <xf numFmtId="0" fontId="30" fillId="31" borderId="17" xfId="0" applyFont="1" applyFill="1" applyBorder="1" applyAlignment="1">
      <alignment horizontal="center" vertical="top"/>
    </xf>
    <xf numFmtId="165" fontId="38" fillId="31" borderId="17" xfId="0" applyNumberFormat="1" applyFont="1" applyFill="1" applyBorder="1" applyAlignment="1">
      <alignment horizontal="left" vertical="top"/>
    </xf>
    <xf numFmtId="9" fontId="38" fillId="28" borderId="19" xfId="57" applyFont="1" applyFill="1" applyBorder="1" applyAlignment="1">
      <alignment horizontal="center" vertical="top"/>
    </xf>
    <xf numFmtId="0" fontId="25" fillId="0" borderId="14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/>
    </xf>
    <xf numFmtId="2" fontId="25" fillId="0" borderId="14" xfId="0" applyNumberFormat="1" applyFont="1" applyBorder="1" applyAlignment="1">
      <alignment horizontal="left" vertical="top" wrapText="1"/>
    </xf>
    <xf numFmtId="1" fontId="25" fillId="0" borderId="14" xfId="0" applyNumberFormat="1" applyFont="1" applyBorder="1" applyAlignment="1">
      <alignment horizontal="center" vertical="top" wrapText="1"/>
    </xf>
    <xf numFmtId="2" fontId="25" fillId="0" borderId="14" xfId="0" applyNumberFormat="1" applyFont="1" applyBorder="1" applyAlignment="1">
      <alignment horizontal="center" vertical="top" wrapText="1"/>
    </xf>
    <xf numFmtId="44" fontId="25" fillId="0" borderId="14" xfId="56" applyNumberFormat="1" applyFont="1" applyBorder="1" applyAlignment="1">
      <alignment horizontal="center" vertical="top"/>
    </xf>
    <xf numFmtId="164" fontId="25" fillId="0" borderId="14" xfId="0" applyNumberFormat="1" applyFont="1" applyBorder="1" applyAlignment="1">
      <alignment vertical="top"/>
    </xf>
    <xf numFmtId="0" fontId="25" fillId="24" borderId="22" xfId="0" applyFont="1" applyFill="1" applyBorder="1" applyAlignment="1">
      <alignment vertical="top"/>
    </xf>
    <xf numFmtId="0" fontId="34" fillId="0" borderId="31" xfId="0" applyFont="1" applyBorder="1" applyAlignment="1">
      <alignment horizontal="left" vertical="top"/>
    </xf>
    <xf numFmtId="0" fontId="25" fillId="0" borderId="11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/>
    </xf>
    <xf numFmtId="2" fontId="25" fillId="0" borderId="11" xfId="0" applyNumberFormat="1" applyFont="1" applyBorder="1" applyAlignment="1">
      <alignment horizontal="left" vertical="top" wrapText="1"/>
    </xf>
    <xf numFmtId="1" fontId="25" fillId="0" borderId="11" xfId="0" applyNumberFormat="1" applyFont="1" applyBorder="1" applyAlignment="1">
      <alignment horizontal="center" vertical="top" wrapText="1"/>
    </xf>
    <xf numFmtId="2" fontId="25" fillId="0" borderId="11" xfId="0" applyNumberFormat="1" applyFont="1" applyBorder="1" applyAlignment="1">
      <alignment horizontal="center" vertical="top" wrapText="1"/>
    </xf>
    <xf numFmtId="44" fontId="25" fillId="0" borderId="11" xfId="56" applyNumberFormat="1" applyFont="1" applyBorder="1" applyAlignment="1">
      <alignment horizontal="center" vertical="top"/>
    </xf>
    <xf numFmtId="164" fontId="25" fillId="0" borderId="11" xfId="0" applyNumberFormat="1" applyFont="1" applyBorder="1" applyAlignment="1">
      <alignment vertical="top"/>
    </xf>
    <xf numFmtId="0" fontId="25" fillId="24" borderId="32" xfId="0" applyFont="1" applyFill="1" applyBorder="1" applyAlignment="1">
      <alignment vertical="top"/>
    </xf>
    <xf numFmtId="1" fontId="25" fillId="24" borderId="10" xfId="0" applyNumberFormat="1" applyFont="1" applyFill="1" applyBorder="1" applyAlignment="1">
      <alignment horizontal="center" vertical="top"/>
    </xf>
    <xf numFmtId="0" fontId="25" fillId="24" borderId="10" xfId="0" applyFont="1" applyFill="1" applyBorder="1" applyAlignment="1" applyProtection="1">
      <alignment horizontal="center" vertical="top"/>
    </xf>
    <xf numFmtId="0" fontId="25" fillId="0" borderId="35" xfId="45" applyFont="1" applyFill="1" applyBorder="1" applyAlignment="1" applyProtection="1">
      <alignment horizontal="center" vertical="top"/>
    </xf>
    <xf numFmtId="0" fontId="25" fillId="24" borderId="27" xfId="0" applyFont="1" applyFill="1" applyBorder="1" applyAlignment="1" applyProtection="1">
      <alignment horizontal="center" vertical="top"/>
    </xf>
    <xf numFmtId="0" fontId="25" fillId="24" borderId="26" xfId="0" applyFont="1" applyFill="1" applyBorder="1" applyAlignment="1" applyProtection="1">
      <alignment horizontal="center" vertical="top"/>
    </xf>
    <xf numFmtId="0" fontId="25" fillId="24" borderId="28" xfId="0" applyFont="1" applyFill="1" applyBorder="1" applyAlignment="1" applyProtection="1">
      <alignment horizontal="center" vertical="top"/>
    </xf>
    <xf numFmtId="0" fontId="25" fillId="24" borderId="15" xfId="45" applyFont="1" applyFill="1" applyBorder="1" applyAlignment="1">
      <alignment horizontal="center" vertical="top"/>
    </xf>
    <xf numFmtId="0" fontId="25" fillId="24" borderId="0" xfId="45" applyFont="1" applyFill="1" applyBorder="1" applyAlignment="1">
      <alignment vertical="top"/>
    </xf>
    <xf numFmtId="1" fontId="26" fillId="24" borderId="10" xfId="0" applyNumberFormat="1" applyFont="1" applyFill="1" applyBorder="1" applyAlignment="1" applyProtection="1">
      <alignment horizontal="center" vertical="top" wrapText="1"/>
    </xf>
    <xf numFmtId="0" fontId="34" fillId="0" borderId="13" xfId="0" applyFont="1" applyBorder="1" applyAlignment="1">
      <alignment horizontal="left" vertical="top"/>
    </xf>
    <xf numFmtId="2" fontId="26" fillId="24" borderId="15" xfId="45" applyNumberFormat="1" applyFont="1" applyFill="1" applyBorder="1" applyAlignment="1">
      <alignment horizontal="left" vertical="top" wrapText="1"/>
    </xf>
    <xf numFmtId="1" fontId="35" fillId="24" borderId="10" xfId="45" applyNumberFormat="1" applyFont="1" applyFill="1" applyBorder="1" applyAlignment="1">
      <alignment horizontal="center" vertical="top" wrapText="1"/>
    </xf>
    <xf numFmtId="9" fontId="25" fillId="0" borderId="35" xfId="0" applyNumberFormat="1" applyFont="1" applyFill="1" applyBorder="1" applyAlignment="1">
      <alignment horizontal="center" vertical="top"/>
    </xf>
    <xf numFmtId="41" fontId="25" fillId="0" borderId="36" xfId="0" applyNumberFormat="1" applyFont="1" applyFill="1" applyBorder="1" applyAlignment="1">
      <alignment horizontal="center" vertical="top"/>
    </xf>
    <xf numFmtId="0" fontId="25" fillId="0" borderId="36" xfId="0" applyFont="1" applyFill="1" applyBorder="1" applyAlignment="1">
      <alignment horizontal="center" vertical="top"/>
    </xf>
    <xf numFmtId="44" fontId="25" fillId="0" borderId="36" xfId="55" applyNumberFormat="1" applyFont="1" applyFill="1" applyBorder="1" applyAlignment="1">
      <alignment horizontal="center" vertical="top"/>
    </xf>
    <xf numFmtId="166" fontId="26" fillId="0" borderId="37" xfId="0" applyNumberFormat="1" applyFont="1" applyFill="1" applyBorder="1" applyAlignment="1" applyProtection="1">
      <alignment horizontal="center" vertical="top"/>
    </xf>
    <xf numFmtId="2" fontId="27" fillId="29" borderId="24" xfId="0" applyNumberFormat="1" applyFont="1" applyFill="1" applyBorder="1" applyAlignment="1">
      <alignment horizontal="left" vertical="top"/>
    </xf>
    <xf numFmtId="2" fontId="27" fillId="29" borderId="17" xfId="0" applyNumberFormat="1" applyFont="1" applyFill="1" applyBorder="1" applyAlignment="1">
      <alignment horizontal="left" vertical="top" wrapText="1"/>
    </xf>
    <xf numFmtId="2" fontId="27" fillId="29" borderId="17" xfId="0" applyNumberFormat="1" applyFont="1" applyFill="1" applyBorder="1" applyAlignment="1">
      <alignment horizontal="left" vertical="top"/>
    </xf>
    <xf numFmtId="2" fontId="27" fillId="29" borderId="17" xfId="0" applyNumberFormat="1" applyFont="1" applyFill="1" applyBorder="1" applyAlignment="1">
      <alignment horizontal="center" vertical="top"/>
    </xf>
    <xf numFmtId="2" fontId="27" fillId="29" borderId="25" xfId="0" applyNumberFormat="1" applyFont="1" applyFill="1" applyBorder="1" applyAlignment="1">
      <alignment horizontal="right" vertical="top"/>
    </xf>
    <xf numFmtId="2" fontId="26" fillId="24" borderId="31" xfId="0" applyNumberFormat="1" applyFont="1" applyFill="1" applyBorder="1" applyAlignment="1">
      <alignment horizontal="left" vertical="top"/>
    </xf>
    <xf numFmtId="0" fontId="25" fillId="24" borderId="32" xfId="0" applyFont="1" applyFill="1" applyBorder="1" applyAlignment="1">
      <alignment horizontal="center" vertical="top" wrapText="1"/>
    </xf>
    <xf numFmtId="0" fontId="26" fillId="24" borderId="31" xfId="0" applyFont="1" applyFill="1" applyBorder="1" applyAlignment="1">
      <alignment horizontal="left" vertical="top"/>
    </xf>
    <xf numFmtId="2" fontId="26" fillId="24" borderId="11" xfId="0" applyNumberFormat="1" applyFont="1" applyFill="1" applyBorder="1" applyAlignment="1">
      <alignment vertical="top"/>
    </xf>
    <xf numFmtId="2" fontId="26" fillId="24" borderId="11" xfId="45" applyNumberFormat="1" applyFont="1" applyFill="1" applyBorder="1" applyAlignment="1">
      <alignment vertical="top"/>
    </xf>
    <xf numFmtId="2" fontId="26" fillId="24" borderId="32" xfId="45" applyNumberFormat="1" applyFont="1" applyFill="1" applyBorder="1" applyAlignment="1">
      <alignment vertical="top"/>
    </xf>
    <xf numFmtId="0" fontId="25" fillId="24" borderId="12" xfId="0" applyFont="1" applyFill="1" applyBorder="1" applyAlignment="1">
      <alignment horizontal="left" vertical="top"/>
    </xf>
    <xf numFmtId="0" fontId="25" fillId="24" borderId="21" xfId="0" applyFont="1" applyFill="1" applyBorder="1" applyAlignment="1">
      <alignment horizontal="center" vertical="top" wrapText="1"/>
    </xf>
    <xf numFmtId="14" fontId="25" fillId="24" borderId="12" xfId="0" applyNumberFormat="1" applyFont="1" applyFill="1" applyBorder="1" applyAlignment="1">
      <alignment horizontal="left" vertical="top"/>
    </xf>
    <xf numFmtId="2" fontId="26" fillId="24" borderId="0" xfId="0" applyNumberFormat="1" applyFont="1" applyFill="1" applyBorder="1" applyAlignment="1">
      <alignment vertical="top"/>
    </xf>
    <xf numFmtId="0" fontId="26" fillId="24" borderId="13" xfId="0" applyFont="1" applyFill="1" applyBorder="1" applyAlignment="1" applyProtection="1">
      <alignment horizontal="left" vertical="top"/>
    </xf>
    <xf numFmtId="0" fontId="25" fillId="24" borderId="22" xfId="0" applyFont="1" applyFill="1" applyBorder="1" applyAlignment="1" applyProtection="1">
      <alignment horizontal="center" vertical="top" wrapText="1"/>
    </xf>
    <xf numFmtId="165" fontId="26" fillId="24" borderId="13" xfId="55" applyNumberFormat="1" applyFont="1" applyFill="1" applyBorder="1" applyAlignment="1" applyProtection="1">
      <alignment horizontal="left" vertical="top"/>
    </xf>
    <xf numFmtId="2" fontId="39" fillId="24" borderId="14" xfId="54" applyNumberFormat="1" applyFont="1" applyFill="1" applyBorder="1" applyAlignment="1">
      <alignment horizontal="center" vertical="top"/>
    </xf>
    <xf numFmtId="2" fontId="39" fillId="24" borderId="22" xfId="54" applyNumberFormat="1" applyFont="1" applyFill="1" applyBorder="1" applyAlignment="1">
      <alignment horizontal="center" vertical="top"/>
    </xf>
    <xf numFmtId="0" fontId="27" fillId="29" borderId="24" xfId="0" applyFont="1" applyFill="1" applyBorder="1" applyAlignment="1" applyProtection="1">
      <alignment horizontal="center" vertical="top" wrapText="1"/>
    </xf>
    <xf numFmtId="1" fontId="27" fillId="29" borderId="17" xfId="0" applyNumberFormat="1" applyFont="1" applyFill="1" applyBorder="1" applyAlignment="1" applyProtection="1">
      <alignment horizontal="center" vertical="top" wrapText="1"/>
    </xf>
    <xf numFmtId="1" fontId="27" fillId="29" borderId="17" xfId="0" applyNumberFormat="1" applyFont="1" applyFill="1" applyBorder="1" applyAlignment="1" applyProtection="1">
      <alignment horizontal="center" vertical="top"/>
    </xf>
    <xf numFmtId="0" fontId="25" fillId="0" borderId="27" xfId="0" applyFont="1" applyFill="1" applyBorder="1" applyAlignment="1">
      <alignment horizontal="center" vertical="top"/>
    </xf>
    <xf numFmtId="0" fontId="25" fillId="24" borderId="16" xfId="0" applyFont="1" applyFill="1" applyBorder="1" applyAlignment="1">
      <alignment horizontal="center" vertical="top"/>
    </xf>
    <xf numFmtId="1" fontId="27" fillId="29" borderId="11" xfId="45" applyNumberFormat="1" applyFont="1" applyFill="1" applyBorder="1" applyAlignment="1" applyProtection="1">
      <alignment horizontal="center" vertical="top" wrapText="1"/>
    </xf>
    <xf numFmtId="0" fontId="27" fillId="29" borderId="17" xfId="45" applyFont="1" applyFill="1" applyBorder="1" applyAlignment="1" applyProtection="1">
      <alignment horizontal="center" vertical="top" wrapText="1"/>
    </xf>
    <xf numFmtId="164" fontId="27" fillId="29" borderId="25" xfId="45" applyNumberFormat="1" applyFont="1" applyFill="1" applyBorder="1" applyAlignment="1" applyProtection="1">
      <alignment horizontal="center" vertical="top" wrapText="1"/>
    </xf>
    <xf numFmtId="165" fontId="30" fillId="24" borderId="10" xfId="55" applyNumberFormat="1" applyFont="1" applyFill="1" applyBorder="1" applyAlignment="1">
      <alignment vertical="top"/>
    </xf>
    <xf numFmtId="44" fontId="30" fillId="24" borderId="10" xfId="55" applyFont="1" applyFill="1" applyBorder="1" applyAlignment="1">
      <alignment vertical="top"/>
    </xf>
    <xf numFmtId="44" fontId="25" fillId="27" borderId="10" xfId="55" applyNumberFormat="1" applyFont="1" applyFill="1" applyBorder="1" applyAlignment="1" applyProtection="1">
      <alignment horizontal="center" vertical="top"/>
    </xf>
    <xf numFmtId="165" fontId="26" fillId="31" borderId="15" xfId="0" applyNumberFormat="1" applyFont="1" applyFill="1" applyBorder="1" applyAlignment="1">
      <alignment vertical="top"/>
    </xf>
    <xf numFmtId="44" fontId="25" fillId="27" borderId="10" xfId="55" applyFont="1" applyFill="1" applyBorder="1" applyAlignment="1" applyProtection="1">
      <alignment horizontal="center" vertical="top"/>
    </xf>
    <xf numFmtId="44" fontId="25" fillId="24" borderId="10" xfId="55" applyFont="1" applyFill="1" applyBorder="1" applyAlignment="1" applyProtection="1">
      <alignment horizontal="center" vertical="top"/>
    </xf>
    <xf numFmtId="44" fontId="25" fillId="24" borderId="16" xfId="55" applyFont="1" applyFill="1" applyBorder="1" applyAlignment="1" applyProtection="1">
      <alignment horizontal="center" vertical="top"/>
    </xf>
    <xf numFmtId="165" fontId="25" fillId="0" borderId="29" xfId="45" applyNumberFormat="1" applyFont="1" applyBorder="1" applyAlignment="1">
      <alignment horizontal="center" vertical="top"/>
    </xf>
    <xf numFmtId="0" fontId="25" fillId="24" borderId="21" xfId="0" applyFont="1" applyFill="1" applyBorder="1" applyAlignment="1">
      <alignment vertical="top"/>
    </xf>
    <xf numFmtId="165" fontId="26" fillId="24" borderId="25" xfId="55" applyNumberFormat="1" applyFont="1" applyFill="1" applyBorder="1" applyAlignment="1">
      <alignment horizontal="center" vertical="top"/>
    </xf>
    <xf numFmtId="0" fontId="30" fillId="24" borderId="21" xfId="0" applyFont="1" applyFill="1" applyBorder="1" applyAlignment="1">
      <alignment vertical="top"/>
    </xf>
    <xf numFmtId="0" fontId="25" fillId="0" borderId="40" xfId="45" applyFont="1" applyFill="1" applyBorder="1" applyAlignment="1" applyProtection="1">
      <alignment horizontal="center" vertical="top"/>
    </xf>
    <xf numFmtId="0" fontId="25" fillId="24" borderId="39" xfId="0" applyFont="1" applyFill="1" applyBorder="1" applyAlignment="1" applyProtection="1">
      <alignment horizontal="center" vertical="top"/>
    </xf>
    <xf numFmtId="0" fontId="25" fillId="24" borderId="38" xfId="0" applyFont="1" applyFill="1" applyBorder="1" applyAlignment="1" applyProtection="1">
      <alignment horizontal="center" vertical="top"/>
    </xf>
    <xf numFmtId="0" fontId="25" fillId="24" borderId="38" xfId="0" applyFont="1" applyFill="1" applyBorder="1" applyAlignment="1" applyProtection="1">
      <alignment horizontal="center" vertical="top" wrapText="1"/>
    </xf>
    <xf numFmtId="2" fontId="26" fillId="0" borderId="38" xfId="0" applyNumberFormat="1" applyFont="1" applyFill="1" applyBorder="1" applyAlignment="1">
      <alignment horizontal="left" vertical="top" wrapText="1"/>
    </xf>
    <xf numFmtId="1" fontId="25" fillId="0" borderId="18" xfId="0" applyNumberFormat="1" applyFont="1" applyFill="1" applyBorder="1" applyAlignment="1">
      <alignment horizontal="center" vertical="top"/>
    </xf>
    <xf numFmtId="9" fontId="25" fillId="24" borderId="39" xfId="0" applyNumberFormat="1" applyFont="1" applyFill="1" applyBorder="1" applyAlignment="1">
      <alignment horizontal="center" vertical="top"/>
    </xf>
    <xf numFmtId="41" fontId="25" fillId="0" borderId="39" xfId="0" applyNumberFormat="1" applyFont="1" applyFill="1" applyBorder="1" applyAlignment="1">
      <alignment horizontal="center" vertical="top"/>
    </xf>
    <xf numFmtId="0" fontId="25" fillId="0" borderId="39" xfId="0" applyFont="1" applyFill="1" applyBorder="1" applyAlignment="1">
      <alignment horizontal="center" vertical="top"/>
    </xf>
    <xf numFmtId="0" fontId="25" fillId="0" borderId="38" xfId="0" applyFont="1" applyFill="1" applyBorder="1" applyAlignment="1">
      <alignment horizontal="center" vertical="top"/>
    </xf>
    <xf numFmtId="44" fontId="25" fillId="24" borderId="38" xfId="55" applyNumberFormat="1" applyFont="1" applyFill="1" applyBorder="1" applyAlignment="1" applyProtection="1">
      <alignment horizontal="center" vertical="top"/>
    </xf>
    <xf numFmtId="165" fontId="25" fillId="0" borderId="41" xfId="45" applyNumberFormat="1" applyFont="1" applyFill="1" applyBorder="1" applyAlignment="1">
      <alignment horizontal="center" vertical="top"/>
    </xf>
    <xf numFmtId="0" fontId="25" fillId="0" borderId="0" xfId="45" applyFont="1" applyBorder="1" applyAlignment="1">
      <alignment vertical="top"/>
    </xf>
    <xf numFmtId="44" fontId="25" fillId="0" borderId="36" xfId="0" applyNumberFormat="1" applyFont="1" applyFill="1" applyBorder="1" applyAlignment="1">
      <alignment horizontal="center" vertical="top"/>
    </xf>
    <xf numFmtId="44" fontId="25" fillId="24" borderId="36" xfId="0" applyNumberFormat="1" applyFont="1" applyFill="1" applyBorder="1" applyAlignment="1">
      <alignment horizontal="center" vertical="top"/>
    </xf>
    <xf numFmtId="0" fontId="25" fillId="24" borderId="27" xfId="0" applyNumberFormat="1" applyFont="1" applyFill="1" applyBorder="1" applyAlignment="1">
      <alignment horizontal="center" vertical="top"/>
    </xf>
    <xf numFmtId="0" fontId="25" fillId="32" borderId="17" xfId="0" applyFont="1" applyFill="1" applyBorder="1" applyAlignment="1">
      <alignment horizontal="center" vertical="top"/>
    </xf>
    <xf numFmtId="165" fontId="26" fillId="32" borderId="25" xfId="56" applyNumberFormat="1" applyFont="1" applyFill="1" applyBorder="1" applyAlignment="1">
      <alignment horizontal="center" vertical="top"/>
    </xf>
    <xf numFmtId="0" fontId="26" fillId="32" borderId="24" xfId="0" applyFont="1" applyFill="1" applyBorder="1" applyAlignment="1">
      <alignment horizontal="left" vertical="top"/>
    </xf>
    <xf numFmtId="165" fontId="38" fillId="31" borderId="25" xfId="0" applyNumberFormat="1" applyFont="1" applyFill="1" applyBorder="1" applyAlignment="1" applyProtection="1">
      <alignment horizontal="center" vertical="top"/>
    </xf>
    <xf numFmtId="0" fontId="25" fillId="0" borderId="31" xfId="45" applyFont="1" applyFill="1" applyBorder="1" applyAlignment="1" applyProtection="1">
      <alignment horizontal="center" vertical="top"/>
    </xf>
    <xf numFmtId="0" fontId="25" fillId="24" borderId="11" xfId="0" applyFont="1" applyFill="1" applyBorder="1" applyAlignment="1" applyProtection="1">
      <alignment horizontal="center" vertical="top"/>
    </xf>
    <xf numFmtId="0" fontId="25" fillId="24" borderId="11" xfId="0" applyFont="1" applyFill="1" applyBorder="1" applyAlignment="1" applyProtection="1">
      <alignment horizontal="center" vertical="top" wrapText="1"/>
    </xf>
    <xf numFmtId="2" fontId="26" fillId="0" borderId="11" xfId="0" applyNumberFormat="1" applyFont="1" applyFill="1" applyBorder="1" applyAlignment="1">
      <alignment horizontal="left" vertical="top" wrapText="1"/>
    </xf>
    <xf numFmtId="1" fontId="25" fillId="0" borderId="11" xfId="0" applyNumberFormat="1" applyFont="1" applyFill="1" applyBorder="1" applyAlignment="1">
      <alignment horizontal="center" vertical="top"/>
    </xf>
    <xf numFmtId="9" fontId="25" fillId="24" borderId="11" xfId="0" applyNumberFormat="1" applyFont="1" applyFill="1" applyBorder="1" applyAlignment="1">
      <alignment horizontal="center" vertical="top"/>
    </xf>
    <xf numFmtId="41" fontId="25" fillId="0" borderId="11" xfId="0" applyNumberFormat="1" applyFont="1" applyFill="1" applyBorder="1" applyAlignment="1">
      <alignment horizontal="center" vertical="top"/>
    </xf>
    <xf numFmtId="0" fontId="25" fillId="0" borderId="11" xfId="0" applyFont="1" applyFill="1" applyBorder="1" applyAlignment="1">
      <alignment horizontal="center" vertical="top"/>
    </xf>
    <xf numFmtId="44" fontId="25" fillId="24" borderId="11" xfId="55" applyNumberFormat="1" applyFont="1" applyFill="1" applyBorder="1" applyAlignment="1" applyProtection="1">
      <alignment horizontal="center" vertical="top"/>
    </xf>
    <xf numFmtId="165" fontId="25" fillId="0" borderId="32" xfId="45" applyNumberFormat="1" applyFont="1" applyFill="1" applyBorder="1" applyAlignment="1">
      <alignment horizontal="center" vertical="top"/>
    </xf>
    <xf numFmtId="0" fontId="25" fillId="0" borderId="13" xfId="45" applyFont="1" applyFill="1" applyBorder="1" applyAlignment="1" applyProtection="1">
      <alignment horizontal="center" vertical="top"/>
    </xf>
    <xf numFmtId="0" fontId="25" fillId="24" borderId="14" xfId="0" applyFont="1" applyFill="1" applyBorder="1" applyAlignment="1" applyProtection="1">
      <alignment horizontal="center" vertical="top"/>
    </xf>
    <xf numFmtId="0" fontId="25" fillId="24" borderId="14" xfId="0" applyFont="1" applyFill="1" applyBorder="1" applyAlignment="1" applyProtection="1">
      <alignment horizontal="center" vertical="top" wrapText="1"/>
    </xf>
    <xf numFmtId="2" fontId="26" fillId="0" borderId="14" xfId="0" applyNumberFormat="1" applyFont="1" applyFill="1" applyBorder="1" applyAlignment="1">
      <alignment horizontal="left" vertical="top" wrapText="1"/>
    </xf>
    <xf numFmtId="1" fontId="25" fillId="0" borderId="14" xfId="0" applyNumberFormat="1" applyFont="1" applyFill="1" applyBorder="1" applyAlignment="1">
      <alignment horizontal="center" vertical="top"/>
    </xf>
    <xf numFmtId="9" fontId="25" fillId="24" borderId="14" xfId="0" applyNumberFormat="1" applyFont="1" applyFill="1" applyBorder="1" applyAlignment="1">
      <alignment horizontal="center" vertical="top"/>
    </xf>
    <xf numFmtId="41" fontId="25" fillId="0" borderId="14" xfId="0" applyNumberFormat="1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44" fontId="25" fillId="24" borderId="14" xfId="55" applyNumberFormat="1" applyFont="1" applyFill="1" applyBorder="1" applyAlignment="1" applyProtection="1">
      <alignment horizontal="center" vertical="top"/>
    </xf>
    <xf numFmtId="165" fontId="25" fillId="0" borderId="22" xfId="45" applyNumberFormat="1" applyFont="1" applyFill="1" applyBorder="1" applyAlignment="1">
      <alignment horizontal="center" vertical="top"/>
    </xf>
    <xf numFmtId="1" fontId="27" fillId="29" borderId="24" xfId="0" applyNumberFormat="1" applyFont="1" applyFill="1" applyBorder="1" applyAlignment="1">
      <alignment horizontal="left" vertical="top"/>
    </xf>
    <xf numFmtId="1" fontId="27" fillId="29" borderId="17" xfId="0" applyNumberFormat="1" applyFont="1" applyFill="1" applyBorder="1" applyAlignment="1">
      <alignment horizontal="left" vertical="top" wrapText="1"/>
    </xf>
    <xf numFmtId="1" fontId="27" fillId="29" borderId="17" xfId="0" applyNumberFormat="1" applyFont="1" applyFill="1" applyBorder="1" applyAlignment="1">
      <alignment horizontal="left" vertical="top"/>
    </xf>
    <xf numFmtId="0" fontId="29" fillId="29" borderId="17" xfId="0" applyFont="1" applyFill="1" applyBorder="1" applyAlignment="1">
      <alignment horizontal="left" vertical="top" wrapText="1"/>
    </xf>
    <xf numFmtId="1" fontId="29" fillId="29" borderId="17" xfId="0" applyNumberFormat="1" applyFont="1" applyFill="1" applyBorder="1" applyAlignment="1">
      <alignment horizontal="center" vertical="top"/>
    </xf>
    <xf numFmtId="41" fontId="29" fillId="29" borderId="17" xfId="0" applyNumberFormat="1" applyFont="1" applyFill="1" applyBorder="1" applyAlignment="1">
      <alignment horizontal="right" vertical="top"/>
    </xf>
    <xf numFmtId="0" fontId="29" fillId="29" borderId="17" xfId="0" applyFont="1" applyFill="1" applyBorder="1" applyAlignment="1">
      <alignment horizontal="center" vertical="top"/>
    </xf>
    <xf numFmtId="165" fontId="27" fillId="29" borderId="17" xfId="0" applyNumberFormat="1" applyFont="1" applyFill="1" applyBorder="1" applyAlignment="1">
      <alignment horizontal="left" vertical="top"/>
    </xf>
    <xf numFmtId="165" fontId="27" fillId="29" borderId="25" xfId="0" applyNumberFormat="1" applyFont="1" applyFill="1" applyBorder="1" applyAlignment="1">
      <alignment horizontal="left" vertical="top"/>
    </xf>
    <xf numFmtId="165" fontId="38" fillId="31" borderId="25" xfId="0" applyNumberFormat="1" applyFont="1" applyFill="1" applyBorder="1" applyAlignment="1">
      <alignment horizontal="left" vertical="top"/>
    </xf>
    <xf numFmtId="44" fontId="25" fillId="0" borderId="33" xfId="0" applyNumberFormat="1" applyFont="1" applyFill="1" applyBorder="1" applyAlignment="1">
      <alignment horizontal="center" vertical="top"/>
    </xf>
    <xf numFmtId="2" fontId="25" fillId="0" borderId="15" xfId="0" applyNumberFormat="1" applyFont="1" applyFill="1" applyBorder="1" applyAlignment="1">
      <alignment horizontal="right" vertical="top" wrapText="1"/>
    </xf>
    <xf numFmtId="0" fontId="25" fillId="0" borderId="0" xfId="0" applyFont="1" applyFill="1" applyBorder="1" applyAlignment="1">
      <alignment vertical="top" wrapText="1"/>
    </xf>
    <xf numFmtId="0" fontId="25" fillId="24" borderId="15" xfId="45" applyFont="1" applyFill="1" applyBorder="1" applyAlignment="1">
      <alignment horizontal="center" vertical="top" wrapText="1"/>
    </xf>
    <xf numFmtId="44" fontId="25" fillId="24" borderId="10" xfId="55" applyNumberFormat="1" applyFont="1" applyFill="1" applyBorder="1" applyAlignment="1" applyProtection="1">
      <alignment horizontal="center" vertical="top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" xfId="56" builtinId="4"/>
    <cellStyle name="Currency 2" xfId="50"/>
    <cellStyle name="Currency 3" xfId="55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54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2 2" xfId="60"/>
    <cellStyle name="Normal 2 2 3" xfId="62"/>
    <cellStyle name="Normal 2 3" xfId="45"/>
    <cellStyle name="Normal 2 3 2" xfId="52"/>
    <cellStyle name="Normal 3" xfId="37"/>
    <cellStyle name="Normal 4" xfId="43"/>
    <cellStyle name="Normal 4 2" xfId="53"/>
    <cellStyle name="Normal 4 3" xfId="51"/>
    <cellStyle name="Normal 4 4" xfId="59"/>
    <cellStyle name="Normal 5" xfId="49"/>
    <cellStyle name="Note" xfId="38" builtinId="10" customBuiltin="1"/>
    <cellStyle name="Output" xfId="39" builtinId="21" customBuiltin="1"/>
    <cellStyle name="Percent" xfId="57" builtinId="5"/>
    <cellStyle name="Percent 2" xfId="58"/>
    <cellStyle name="Percent 3 2" xfId="61"/>
    <cellStyle name="Percent 3 2 2" xfId="63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55D61"/>
      <color rgb="FFFED2DC"/>
      <color rgb="FFD5D5D5"/>
      <color rgb="FFB94517"/>
      <color rgb="FFFE9494"/>
      <color rgb="FFF3F3F3"/>
      <color rgb="FFF50101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96"/>
  <sheetViews>
    <sheetView showGridLines="0" tabSelected="1" view="pageBreakPreview" zoomScale="40" zoomScaleNormal="90" zoomScaleSheetLayoutView="40" workbookViewId="0">
      <pane ySplit="6" topLeftCell="A7" activePane="bottomLeft" state="frozen"/>
      <selection pane="bottomLeft" activeCell="U28" sqref="U28"/>
    </sheetView>
  </sheetViews>
  <sheetFormatPr defaultColWidth="9.69140625" defaultRowHeight="15.5" x14ac:dyDescent="0.35"/>
  <cols>
    <col min="1" max="1" width="5.3046875" style="6" customWidth="1"/>
    <col min="2" max="2" width="12.3046875" style="35" customWidth="1"/>
    <col min="3" max="3" width="14.765625" style="8" customWidth="1"/>
    <col min="4" max="4" width="7.4609375" style="8" customWidth="1"/>
    <col min="5" max="5" width="44.765625" style="13" customWidth="1"/>
    <col min="6" max="6" width="8.07421875" style="17" customWidth="1"/>
    <col min="7" max="7" width="8.07421875" style="9" customWidth="1"/>
    <col min="8" max="8" width="7.84375" style="9" customWidth="1"/>
    <col min="9" max="9" width="7.07421875" style="8" customWidth="1"/>
    <col min="10" max="11" width="11.07421875" style="8" customWidth="1"/>
    <col min="12" max="12" width="11.23046875" style="8" customWidth="1"/>
    <col min="13" max="13" width="12.4609375" style="8" customWidth="1"/>
    <col min="14" max="14" width="12.3046875" style="8" customWidth="1"/>
    <col min="15" max="15" width="11.07421875" style="8" customWidth="1"/>
    <col min="16" max="16" width="12.23046875" style="41" customWidth="1"/>
    <col min="17" max="17" width="11.4609375" style="10" customWidth="1"/>
    <col min="18" max="18" width="11.69140625" style="15" customWidth="1"/>
    <col min="19" max="16384" width="9.69140625" style="7"/>
  </cols>
  <sheetData>
    <row r="1" spans="1:18" s="5" customFormat="1" ht="16" thickBot="1" x14ac:dyDescent="0.4">
      <c r="A1" s="154" t="s">
        <v>6</v>
      </c>
      <c r="B1" s="155"/>
      <c r="C1" s="156" t="s">
        <v>78</v>
      </c>
      <c r="D1" s="156"/>
      <c r="E1" s="157"/>
      <c r="F1" s="57"/>
      <c r="G1" s="57"/>
      <c r="H1" s="57"/>
      <c r="I1" s="57"/>
      <c r="J1" s="57"/>
      <c r="K1" s="57"/>
      <c r="L1" s="57"/>
      <c r="M1" s="57"/>
      <c r="N1" s="57"/>
      <c r="O1" s="57"/>
      <c r="P1" s="43"/>
      <c r="Q1" s="57"/>
      <c r="R1" s="158" t="s">
        <v>35</v>
      </c>
    </row>
    <row r="2" spans="1:18" s="1" customFormat="1" x14ac:dyDescent="0.35">
      <c r="A2" s="159" t="s">
        <v>7</v>
      </c>
      <c r="B2" s="160"/>
      <c r="C2" s="161" t="s">
        <v>78</v>
      </c>
      <c r="D2" s="100"/>
      <c r="E2" s="101"/>
      <c r="F2" s="162"/>
      <c r="G2" s="101"/>
      <c r="H2" s="162"/>
      <c r="I2" s="162"/>
      <c r="J2" s="162"/>
      <c r="K2" s="162"/>
      <c r="L2" s="162"/>
      <c r="M2" s="162"/>
      <c r="N2" s="162"/>
      <c r="O2" s="162"/>
      <c r="P2" s="163"/>
      <c r="Q2" s="73"/>
      <c r="R2" s="164"/>
    </row>
    <row r="3" spans="1:18" s="1" customFormat="1" x14ac:dyDescent="0.35">
      <c r="A3" s="165" t="s">
        <v>8</v>
      </c>
      <c r="B3" s="166"/>
      <c r="C3" s="167">
        <v>45180</v>
      </c>
      <c r="D3" s="22"/>
      <c r="E3" s="22"/>
      <c r="F3" s="168"/>
      <c r="G3" s="38"/>
      <c r="H3" s="58"/>
      <c r="I3" s="16"/>
      <c r="J3" s="16"/>
      <c r="K3" s="16"/>
      <c r="L3" s="16"/>
      <c r="M3" s="16"/>
      <c r="N3" s="16"/>
      <c r="O3" s="16"/>
      <c r="P3" s="144"/>
      <c r="Q3" s="74"/>
      <c r="R3" s="76"/>
    </row>
    <row r="4" spans="1:18" s="1" customFormat="1" x14ac:dyDescent="0.35">
      <c r="A4" s="165" t="s">
        <v>9</v>
      </c>
      <c r="B4" s="166"/>
      <c r="C4" s="167">
        <v>45166</v>
      </c>
      <c r="D4" s="22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44"/>
      <c r="Q4" s="74"/>
      <c r="R4" s="76"/>
    </row>
    <row r="5" spans="1:18" s="1" customFormat="1" ht="16" thickBot="1" x14ac:dyDescent="0.4">
      <c r="A5" s="169" t="s">
        <v>2</v>
      </c>
      <c r="B5" s="170"/>
      <c r="C5" s="171">
        <f>R$94</f>
        <v>0</v>
      </c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72"/>
      <c r="R5" s="173"/>
    </row>
    <row r="6" spans="1:18" s="11" customFormat="1" ht="31.5" thickBot="1" x14ac:dyDescent="0.4">
      <c r="A6" s="174" t="s">
        <v>10</v>
      </c>
      <c r="B6" s="175" t="s">
        <v>14</v>
      </c>
      <c r="C6" s="176" t="s">
        <v>15</v>
      </c>
      <c r="D6" s="175" t="s">
        <v>17</v>
      </c>
      <c r="E6" s="175" t="s">
        <v>1</v>
      </c>
      <c r="F6" s="175" t="s">
        <v>34</v>
      </c>
      <c r="G6" s="175" t="s">
        <v>3</v>
      </c>
      <c r="H6" s="175" t="s">
        <v>4</v>
      </c>
      <c r="I6" s="175" t="s">
        <v>0</v>
      </c>
      <c r="J6" s="179" t="s">
        <v>39</v>
      </c>
      <c r="K6" s="179" t="s">
        <v>40</v>
      </c>
      <c r="L6" s="179" t="s">
        <v>41</v>
      </c>
      <c r="M6" s="179" t="s">
        <v>42</v>
      </c>
      <c r="N6" s="179" t="s">
        <v>43</v>
      </c>
      <c r="O6" s="179" t="s">
        <v>44</v>
      </c>
      <c r="P6" s="179" t="s">
        <v>45</v>
      </c>
      <c r="Q6" s="180" t="s">
        <v>5</v>
      </c>
      <c r="R6" s="181" t="s">
        <v>11</v>
      </c>
    </row>
    <row r="7" spans="1:18" s="12" customFormat="1" ht="16" thickBot="1" x14ac:dyDescent="0.4">
      <c r="A7" s="139" t="str">
        <f>IF(F7&lt;&gt;"",1+MAX($A$1:A6),"")</f>
        <v/>
      </c>
      <c r="B7" s="34"/>
      <c r="C7" s="21"/>
      <c r="D7" s="21"/>
      <c r="E7" s="32" t="s">
        <v>18</v>
      </c>
      <c r="F7" s="23"/>
      <c r="G7" s="18"/>
      <c r="H7" s="18"/>
      <c r="I7" s="18"/>
      <c r="J7" s="18"/>
      <c r="K7" s="18"/>
      <c r="L7" s="18"/>
      <c r="M7" s="18"/>
      <c r="N7" s="18"/>
      <c r="O7" s="18"/>
      <c r="P7" s="39"/>
      <c r="Q7" s="36"/>
      <c r="R7" s="81"/>
    </row>
    <row r="8" spans="1:18" s="1" customFormat="1" ht="16" thickBot="1" x14ac:dyDescent="0.4">
      <c r="A8" s="59" t="str">
        <f>IF(F8&lt;&gt;"",1+MAX($A$1:A7),"")</f>
        <v/>
      </c>
      <c r="B8" s="24"/>
      <c r="C8" s="140"/>
      <c r="D8" s="93"/>
      <c r="E8" s="94" t="s">
        <v>28</v>
      </c>
      <c r="F8" s="95"/>
      <c r="G8" s="149"/>
      <c r="H8" s="150"/>
      <c r="I8" s="206"/>
      <c r="J8" s="207"/>
      <c r="K8" s="151"/>
      <c r="L8" s="151"/>
      <c r="M8" s="151"/>
      <c r="N8" s="151"/>
      <c r="O8" s="151"/>
      <c r="P8" s="152"/>
      <c r="Q8" s="153"/>
      <c r="R8" s="81"/>
    </row>
    <row r="9" spans="1:18" s="75" customFormat="1" x14ac:dyDescent="0.35">
      <c r="A9" s="59" t="str">
        <f>IF(F9&lt;&gt;"",1+MAX($A$1:A8),"")</f>
        <v/>
      </c>
      <c r="B9" s="82"/>
      <c r="C9" s="141"/>
      <c r="D9" s="77"/>
      <c r="E9" s="83" t="s">
        <v>54</v>
      </c>
      <c r="F9" s="78"/>
      <c r="G9" s="19"/>
      <c r="H9" s="84"/>
      <c r="I9" s="4"/>
      <c r="J9" s="208"/>
      <c r="K9" s="177"/>
      <c r="L9" s="177"/>
      <c r="M9" s="177"/>
      <c r="N9" s="177"/>
      <c r="O9" s="177"/>
      <c r="P9" s="85"/>
      <c r="Q9" s="86"/>
      <c r="R9" s="81"/>
    </row>
    <row r="10" spans="1:18" s="75" customFormat="1" x14ac:dyDescent="0.35">
      <c r="A10" s="59">
        <f>IF(F10&lt;&gt;"",1+MAX($A$1:A9),"")</f>
        <v>1</v>
      </c>
      <c r="B10" s="2" t="s">
        <v>56</v>
      </c>
      <c r="C10" s="2" t="s">
        <v>55</v>
      </c>
      <c r="D10" s="145"/>
      <c r="E10" s="87" t="s">
        <v>50</v>
      </c>
      <c r="F10" s="14">
        <f>49.3*10.5*2</f>
        <v>1035.3</v>
      </c>
      <c r="G10" s="61">
        <v>7.0000000000000007E-2</v>
      </c>
      <c r="H10" s="25">
        <f>F10*(1+G10)</f>
        <v>1107.771</v>
      </c>
      <c r="I10" s="26" t="s">
        <v>16</v>
      </c>
      <c r="J10" s="186">
        <v>0</v>
      </c>
      <c r="K10" s="184">
        <v>0</v>
      </c>
      <c r="L10" s="187">
        <v>0</v>
      </c>
      <c r="M10" s="188">
        <f>J10+L10+K10</f>
        <v>0</v>
      </c>
      <c r="N10" s="182">
        <f>J10*H10</f>
        <v>0</v>
      </c>
      <c r="O10" s="182">
        <f>K10*H10</f>
        <v>0</v>
      </c>
      <c r="P10" s="183">
        <f>L10*H10</f>
        <v>0</v>
      </c>
      <c r="Q10" s="189">
        <f>M10*H10</f>
        <v>0</v>
      </c>
      <c r="R10" s="81"/>
    </row>
    <row r="11" spans="1:18" s="75" customFormat="1" x14ac:dyDescent="0.35">
      <c r="A11" s="59" t="str">
        <f>IF(F11&lt;&gt;"",1+MAX($A$1:A10),"")</f>
        <v/>
      </c>
      <c r="B11" s="28"/>
      <c r="C11" s="142"/>
      <c r="D11" s="88"/>
      <c r="E11" s="89" t="s">
        <v>20</v>
      </c>
      <c r="F11" s="90"/>
      <c r="G11" s="91"/>
      <c r="H11" s="25">
        <f>ROUNDUP((H10)/32,0)</f>
        <v>35</v>
      </c>
      <c r="I11" s="26" t="s">
        <v>21</v>
      </c>
      <c r="J11" s="178"/>
      <c r="K11" s="178"/>
      <c r="L11" s="178"/>
      <c r="M11" s="178"/>
      <c r="N11" s="178"/>
      <c r="O11" s="178"/>
      <c r="P11" s="79"/>
      <c r="Q11" s="80"/>
      <c r="R11" s="81"/>
    </row>
    <row r="12" spans="1:18" s="75" customFormat="1" x14ac:dyDescent="0.35">
      <c r="A12" s="59" t="str">
        <f>IF(F12&lt;&gt;"",1+MAX($A$1:A11),"")</f>
        <v/>
      </c>
      <c r="B12" s="28"/>
      <c r="C12" s="142"/>
      <c r="D12" s="88"/>
      <c r="E12" s="89" t="s">
        <v>22</v>
      </c>
      <c r="F12" s="90"/>
      <c r="G12" s="91"/>
      <c r="H12" s="25">
        <f>ROUNDUP(H11*24/500,0)</f>
        <v>2</v>
      </c>
      <c r="I12" s="26" t="s">
        <v>23</v>
      </c>
      <c r="J12" s="178"/>
      <c r="K12" s="178"/>
      <c r="L12" s="178"/>
      <c r="M12" s="178"/>
      <c r="N12" s="178"/>
      <c r="O12" s="178"/>
      <c r="P12" s="79"/>
      <c r="Q12" s="80"/>
      <c r="R12" s="81"/>
    </row>
    <row r="13" spans="1:18" s="75" customFormat="1" x14ac:dyDescent="0.35">
      <c r="A13" s="59" t="str">
        <f>IF(F13&lt;&gt;"",1+MAX($A$1:A12),"")</f>
        <v/>
      </c>
      <c r="B13" s="28"/>
      <c r="C13" s="142"/>
      <c r="D13" s="88"/>
      <c r="E13" s="89" t="s">
        <v>24</v>
      </c>
      <c r="F13" s="90"/>
      <c r="G13" s="91"/>
      <c r="H13" s="92">
        <f>ROUNDUP((H10)/200,0)</f>
        <v>6</v>
      </c>
      <c r="I13" s="26" t="s">
        <v>25</v>
      </c>
      <c r="J13" s="178"/>
      <c r="K13" s="178"/>
      <c r="L13" s="178"/>
      <c r="M13" s="178"/>
      <c r="N13" s="178"/>
      <c r="O13" s="178"/>
      <c r="P13" s="79"/>
      <c r="Q13" s="80"/>
      <c r="R13" s="81"/>
    </row>
    <row r="14" spans="1:18" s="75" customFormat="1" x14ac:dyDescent="0.35">
      <c r="A14" s="59" t="str">
        <f>IF(F14&lt;&gt;"",1+MAX($A$1:A13),"")</f>
        <v/>
      </c>
      <c r="B14" s="28"/>
      <c r="C14" s="142"/>
      <c r="D14" s="88"/>
      <c r="E14" s="89" t="s">
        <v>26</v>
      </c>
      <c r="F14" s="90"/>
      <c r="G14" s="91"/>
      <c r="H14" s="92">
        <f>ROUNDUP((H10)*5.25/1000,0)</f>
        <v>6</v>
      </c>
      <c r="I14" s="26" t="s">
        <v>27</v>
      </c>
      <c r="J14" s="178"/>
      <c r="K14" s="178"/>
      <c r="L14" s="178"/>
      <c r="M14" s="178"/>
      <c r="N14" s="178"/>
      <c r="O14" s="178"/>
      <c r="P14" s="79"/>
      <c r="Q14" s="80"/>
      <c r="R14" s="81"/>
    </row>
    <row r="15" spans="1:18" s="75" customFormat="1" x14ac:dyDescent="0.35">
      <c r="A15" s="59">
        <f>IF(F15&lt;&gt;"",1+MAX($A$1:A14),"")</f>
        <v>2</v>
      </c>
      <c r="B15" s="2" t="s">
        <v>56</v>
      </c>
      <c r="C15" s="2" t="s">
        <v>55</v>
      </c>
      <c r="D15" s="145"/>
      <c r="E15" s="87" t="s">
        <v>36</v>
      </c>
      <c r="F15" s="14">
        <f>49.3*4</f>
        <v>197.2</v>
      </c>
      <c r="G15" s="61">
        <v>7.0000000000000007E-2</v>
      </c>
      <c r="H15" s="25">
        <f t="shared" ref="H15:H19" si="0">F15*(1+G15)</f>
        <v>211.00399999999999</v>
      </c>
      <c r="I15" s="26" t="s">
        <v>13</v>
      </c>
      <c r="J15" s="186">
        <v>0</v>
      </c>
      <c r="K15" s="186">
        <v>0</v>
      </c>
      <c r="L15" s="187">
        <v>0</v>
      </c>
      <c r="M15" s="188">
        <f>J15+L15+K15</f>
        <v>0</v>
      </c>
      <c r="N15" s="182">
        <f>J15*H15</f>
        <v>0</v>
      </c>
      <c r="O15" s="182">
        <f>K15*H15</f>
        <v>0</v>
      </c>
      <c r="P15" s="183">
        <f>L15*H15</f>
        <v>0</v>
      </c>
      <c r="Q15" s="189">
        <f>M15*H15</f>
        <v>0</v>
      </c>
      <c r="R15" s="81"/>
    </row>
    <row r="16" spans="1:18" s="75" customFormat="1" x14ac:dyDescent="0.35">
      <c r="A16" s="59">
        <f>IF(F16&lt;&gt;"",1+MAX($A$1:A15),"")</f>
        <v>3</v>
      </c>
      <c r="B16" s="2" t="s">
        <v>56</v>
      </c>
      <c r="C16" s="2" t="s">
        <v>55</v>
      </c>
      <c r="D16" s="145"/>
      <c r="E16" s="87" t="s">
        <v>73</v>
      </c>
      <c r="F16" s="14">
        <f>49.3*12</f>
        <v>591.59999999999991</v>
      </c>
      <c r="G16" s="61">
        <v>7.0000000000000007E-2</v>
      </c>
      <c r="H16" s="25">
        <f t="shared" si="0"/>
        <v>633.01199999999994</v>
      </c>
      <c r="I16" s="26" t="s">
        <v>16</v>
      </c>
      <c r="J16" s="186">
        <v>0</v>
      </c>
      <c r="K16" s="186">
        <v>0</v>
      </c>
      <c r="L16" s="187">
        <v>0</v>
      </c>
      <c r="M16" s="188">
        <f>J16+L16+K16</f>
        <v>0</v>
      </c>
      <c r="N16" s="182">
        <f>J16*H16</f>
        <v>0</v>
      </c>
      <c r="O16" s="182">
        <f>K16*H16</f>
        <v>0</v>
      </c>
      <c r="P16" s="183">
        <f>L16*H16</f>
        <v>0</v>
      </c>
      <c r="Q16" s="189">
        <f>M16*H16</f>
        <v>0</v>
      </c>
      <c r="R16" s="81"/>
    </row>
    <row r="17" spans="1:18" s="75" customFormat="1" x14ac:dyDescent="0.35">
      <c r="A17" s="59" t="str">
        <f>IF(F17&lt;&gt;"",1+MAX($A$1:A16),"")</f>
        <v/>
      </c>
      <c r="B17" s="2"/>
      <c r="C17" s="2"/>
      <c r="D17" s="145"/>
      <c r="E17" s="244" t="s">
        <v>60</v>
      </c>
      <c r="F17" s="14"/>
      <c r="G17" s="61"/>
      <c r="H17" s="25">
        <f>49.3/1.167+1</f>
        <v>43.245072836332476</v>
      </c>
      <c r="I17" s="26" t="s">
        <v>61</v>
      </c>
      <c r="J17" s="187"/>
      <c r="K17" s="187"/>
      <c r="L17" s="187"/>
      <c r="M17" s="188"/>
      <c r="N17" s="182"/>
      <c r="O17" s="182"/>
      <c r="P17" s="183"/>
      <c r="Q17" s="189"/>
      <c r="R17" s="81"/>
    </row>
    <row r="18" spans="1:18" s="75" customFormat="1" x14ac:dyDescent="0.35">
      <c r="A18" s="59">
        <f>IF(F18&lt;&gt;"",1+MAX($A$1:A17),"")</f>
        <v>4</v>
      </c>
      <c r="B18" s="2" t="s">
        <v>56</v>
      </c>
      <c r="C18" s="2" t="s">
        <v>55</v>
      </c>
      <c r="D18" s="145"/>
      <c r="E18" s="87" t="s">
        <v>72</v>
      </c>
      <c r="F18" s="14">
        <f>49.3*2</f>
        <v>98.6</v>
      </c>
      <c r="G18" s="61">
        <v>7.0000000000000007E-2</v>
      </c>
      <c r="H18" s="25">
        <f t="shared" si="0"/>
        <v>105.502</v>
      </c>
      <c r="I18" s="26" t="s">
        <v>13</v>
      </c>
      <c r="J18" s="186">
        <v>0</v>
      </c>
      <c r="K18" s="186">
        <v>0</v>
      </c>
      <c r="L18" s="187">
        <v>0</v>
      </c>
      <c r="M18" s="188">
        <f>J18+L18+K18</f>
        <v>0</v>
      </c>
      <c r="N18" s="182">
        <f>J18*H18</f>
        <v>0</v>
      </c>
      <c r="O18" s="182">
        <f>K18*H18</f>
        <v>0</v>
      </c>
      <c r="P18" s="183">
        <f>L18*H18</f>
        <v>0</v>
      </c>
      <c r="Q18" s="189">
        <f>M18*H18</f>
        <v>0</v>
      </c>
      <c r="R18" s="81"/>
    </row>
    <row r="19" spans="1:18" s="75" customFormat="1" x14ac:dyDescent="0.35">
      <c r="A19" s="59">
        <f>IF(F19&lt;&gt;"",1+MAX($A$1:A18),"")</f>
        <v>5</v>
      </c>
      <c r="B19" s="2" t="s">
        <v>56</v>
      </c>
      <c r="C19" s="2" t="s">
        <v>55</v>
      </c>
      <c r="D19" s="145"/>
      <c r="E19" s="87" t="s">
        <v>71</v>
      </c>
      <c r="F19" s="14">
        <f>(49.3/4+1)*3.5</f>
        <v>46.637499999999996</v>
      </c>
      <c r="G19" s="61">
        <v>7.0000000000000007E-2</v>
      </c>
      <c r="H19" s="25">
        <f t="shared" si="0"/>
        <v>49.902124999999998</v>
      </c>
      <c r="I19" s="26" t="s">
        <v>13</v>
      </c>
      <c r="J19" s="186">
        <v>0</v>
      </c>
      <c r="K19" s="186">
        <v>0</v>
      </c>
      <c r="L19" s="187">
        <v>0</v>
      </c>
      <c r="M19" s="188">
        <f>J19+L19+K19</f>
        <v>0</v>
      </c>
      <c r="N19" s="182">
        <f>J19*H19</f>
        <v>0</v>
      </c>
      <c r="O19" s="182">
        <f>K19*H19</f>
        <v>0</v>
      </c>
      <c r="P19" s="183">
        <f>L19*H19</f>
        <v>0</v>
      </c>
      <c r="Q19" s="189">
        <f>M19*H19</f>
        <v>0</v>
      </c>
      <c r="R19" s="81"/>
    </row>
    <row r="20" spans="1:18" s="75" customFormat="1" x14ac:dyDescent="0.35">
      <c r="A20" s="59" t="str">
        <f>IF(F20&lt;&gt;"",1+MAX($A$1:A19),"")</f>
        <v/>
      </c>
      <c r="B20" s="2"/>
      <c r="C20" s="2"/>
      <c r="D20" s="145"/>
      <c r="E20" s="87"/>
      <c r="F20" s="14"/>
      <c r="G20" s="61"/>
      <c r="H20" s="25"/>
      <c r="I20" s="26"/>
      <c r="J20" s="26"/>
      <c r="K20" s="26"/>
      <c r="L20" s="26"/>
      <c r="M20" s="26"/>
      <c r="N20" s="26"/>
      <c r="O20" s="26"/>
      <c r="P20" s="26"/>
      <c r="Q20" s="80"/>
      <c r="R20" s="81"/>
    </row>
    <row r="21" spans="1:18" s="75" customFormat="1" x14ac:dyDescent="0.35">
      <c r="A21" s="59" t="str">
        <f>IF(F21&lt;&gt;"",1+MAX($A$1:A20),"")</f>
        <v/>
      </c>
      <c r="B21" s="82"/>
      <c r="C21" s="141"/>
      <c r="D21" s="77"/>
      <c r="E21" s="83" t="s">
        <v>62</v>
      </c>
      <c r="F21" s="78"/>
      <c r="G21" s="19"/>
      <c r="H21" s="84"/>
      <c r="I21" s="4"/>
      <c r="J21" s="208"/>
      <c r="K21" s="177"/>
      <c r="L21" s="177"/>
      <c r="M21" s="177"/>
      <c r="N21" s="177"/>
      <c r="O21" s="177"/>
      <c r="P21" s="85"/>
      <c r="Q21" s="86"/>
      <c r="R21" s="81"/>
    </row>
    <row r="22" spans="1:18" s="75" customFormat="1" x14ac:dyDescent="0.35">
      <c r="A22" s="59">
        <f>IF(F22&lt;&gt;"",1+MAX($A$1:A21),"")</f>
        <v>6</v>
      </c>
      <c r="B22" s="2" t="s">
        <v>56</v>
      </c>
      <c r="C22" s="2" t="s">
        <v>55</v>
      </c>
      <c r="D22" s="145"/>
      <c r="E22" s="87" t="s">
        <v>50</v>
      </c>
      <c r="F22" s="14">
        <f>121.5*10.5*2+55.4*10.5</f>
        <v>3133.2</v>
      </c>
      <c r="G22" s="61">
        <v>7.0000000000000007E-2</v>
      </c>
      <c r="H22" s="25">
        <f>F22*(1+G22)</f>
        <v>3352.5239999999999</v>
      </c>
      <c r="I22" s="26" t="s">
        <v>16</v>
      </c>
      <c r="J22" s="187">
        <f t="shared" ref="J22:K22" si="1">J$10</f>
        <v>0</v>
      </c>
      <c r="K22" s="247">
        <f t="shared" si="1"/>
        <v>0</v>
      </c>
      <c r="L22" s="187">
        <v>0</v>
      </c>
      <c r="M22" s="188">
        <f>J22+L22+K22</f>
        <v>0</v>
      </c>
      <c r="N22" s="182">
        <f>J22*H22</f>
        <v>0</v>
      </c>
      <c r="O22" s="182">
        <f>K22*H22</f>
        <v>0</v>
      </c>
      <c r="P22" s="183">
        <f>L22*H22</f>
        <v>0</v>
      </c>
      <c r="Q22" s="189">
        <f>M22*H22</f>
        <v>0</v>
      </c>
      <c r="R22" s="81"/>
    </row>
    <row r="23" spans="1:18" s="75" customFormat="1" x14ac:dyDescent="0.35">
      <c r="A23" s="59" t="str">
        <f>IF(F23&lt;&gt;"",1+MAX($A$1:A22),"")</f>
        <v/>
      </c>
      <c r="B23" s="28"/>
      <c r="C23" s="142"/>
      <c r="D23" s="88"/>
      <c r="E23" s="89" t="s">
        <v>20</v>
      </c>
      <c r="F23" s="90"/>
      <c r="G23" s="91"/>
      <c r="H23" s="25">
        <f>ROUNDUP((H22)/32,0)</f>
        <v>105</v>
      </c>
      <c r="I23" s="26" t="s">
        <v>21</v>
      </c>
      <c r="J23" s="178"/>
      <c r="K23" s="178"/>
      <c r="L23" s="178"/>
      <c r="M23" s="178"/>
      <c r="N23" s="178"/>
      <c r="O23" s="178"/>
      <c r="P23" s="79"/>
      <c r="Q23" s="80"/>
      <c r="R23" s="81"/>
    </row>
    <row r="24" spans="1:18" s="75" customFormat="1" x14ac:dyDescent="0.35">
      <c r="A24" s="59" t="str">
        <f>IF(F24&lt;&gt;"",1+MAX($A$1:A23),"")</f>
        <v/>
      </c>
      <c r="B24" s="28"/>
      <c r="C24" s="142"/>
      <c r="D24" s="88"/>
      <c r="E24" s="89" t="s">
        <v>22</v>
      </c>
      <c r="F24" s="90"/>
      <c r="G24" s="91"/>
      <c r="H24" s="25">
        <f>ROUNDUP(H23*24/500,0)</f>
        <v>6</v>
      </c>
      <c r="I24" s="26" t="s">
        <v>23</v>
      </c>
      <c r="J24" s="178"/>
      <c r="K24" s="178"/>
      <c r="L24" s="178"/>
      <c r="M24" s="178"/>
      <c r="N24" s="178"/>
      <c r="O24" s="178"/>
      <c r="P24" s="79"/>
      <c r="Q24" s="80"/>
      <c r="R24" s="81"/>
    </row>
    <row r="25" spans="1:18" s="75" customFormat="1" x14ac:dyDescent="0.35">
      <c r="A25" s="59" t="str">
        <f>IF(F25&lt;&gt;"",1+MAX($A$1:A24),"")</f>
        <v/>
      </c>
      <c r="B25" s="28"/>
      <c r="C25" s="142"/>
      <c r="D25" s="88"/>
      <c r="E25" s="89" t="s">
        <v>24</v>
      </c>
      <c r="F25" s="90"/>
      <c r="G25" s="91"/>
      <c r="H25" s="92">
        <f>ROUNDUP((H22)/200,0)</f>
        <v>17</v>
      </c>
      <c r="I25" s="26" t="s">
        <v>25</v>
      </c>
      <c r="J25" s="178"/>
      <c r="K25" s="178"/>
      <c r="L25" s="178"/>
      <c r="M25" s="178"/>
      <c r="N25" s="178"/>
      <c r="O25" s="178"/>
      <c r="P25" s="79"/>
      <c r="Q25" s="80"/>
      <c r="R25" s="81"/>
    </row>
    <row r="26" spans="1:18" s="75" customFormat="1" x14ac:dyDescent="0.35">
      <c r="A26" s="59" t="str">
        <f>IF(F26&lt;&gt;"",1+MAX($A$1:A25),"")</f>
        <v/>
      </c>
      <c r="B26" s="28"/>
      <c r="C26" s="142"/>
      <c r="D26" s="88"/>
      <c r="E26" s="89" t="s">
        <v>26</v>
      </c>
      <c r="F26" s="90"/>
      <c r="G26" s="91"/>
      <c r="H26" s="92">
        <f>ROUNDUP((H22)*5.25/1000,0)</f>
        <v>18</v>
      </c>
      <c r="I26" s="26" t="s">
        <v>27</v>
      </c>
      <c r="J26" s="178"/>
      <c r="K26" s="178"/>
      <c r="L26" s="178"/>
      <c r="M26" s="178"/>
      <c r="N26" s="178"/>
      <c r="O26" s="178"/>
      <c r="P26" s="79"/>
      <c r="Q26" s="80"/>
      <c r="R26" s="81"/>
    </row>
    <row r="27" spans="1:18" s="75" customFormat="1" ht="31" x14ac:dyDescent="0.35">
      <c r="A27" s="59">
        <f>IF(F27&lt;&gt;"",1+MAX($A$1:A26),"")</f>
        <v>7</v>
      </c>
      <c r="B27" s="2" t="s">
        <v>56</v>
      </c>
      <c r="C27" s="2" t="s">
        <v>55</v>
      </c>
      <c r="D27" s="145"/>
      <c r="E27" s="87" t="s">
        <v>59</v>
      </c>
      <c r="F27" s="14">
        <f>55.4*8.1</f>
        <v>448.73999999999995</v>
      </c>
      <c r="G27" s="61">
        <v>7.0000000000000007E-2</v>
      </c>
      <c r="H27" s="25">
        <f>F27*(1+G27)</f>
        <v>480.15179999999998</v>
      </c>
      <c r="I27" s="26" t="s">
        <v>16</v>
      </c>
      <c r="J27" s="186">
        <v>0</v>
      </c>
      <c r="K27" s="184">
        <v>0</v>
      </c>
      <c r="L27" s="187">
        <v>0</v>
      </c>
      <c r="M27" s="188">
        <f>J27+L27+K27</f>
        <v>0</v>
      </c>
      <c r="N27" s="182">
        <f>J27*H27</f>
        <v>0</v>
      </c>
      <c r="O27" s="182">
        <f>K27*H27</f>
        <v>0</v>
      </c>
      <c r="P27" s="183">
        <f>L27*H27</f>
        <v>0</v>
      </c>
      <c r="Q27" s="189">
        <f>M27*H27</f>
        <v>0</v>
      </c>
      <c r="R27" s="81"/>
    </row>
    <row r="28" spans="1:18" s="75" customFormat="1" x14ac:dyDescent="0.35">
      <c r="A28" s="59" t="str">
        <f>IF(F28&lt;&gt;"",1+MAX($A$1:A27),"")</f>
        <v/>
      </c>
      <c r="B28" s="28"/>
      <c r="C28" s="142"/>
      <c r="D28" s="145"/>
      <c r="E28" s="89" t="s">
        <v>20</v>
      </c>
      <c r="F28" s="90"/>
      <c r="G28" s="91"/>
      <c r="H28" s="25">
        <f>ROUNDUP((H27)/32,0)</f>
        <v>16</v>
      </c>
      <c r="I28" s="26" t="s">
        <v>21</v>
      </c>
      <c r="J28" s="178"/>
      <c r="K28" s="178"/>
      <c r="L28" s="178"/>
      <c r="M28" s="178"/>
      <c r="N28" s="178"/>
      <c r="O28" s="178"/>
      <c r="P28" s="79"/>
      <c r="Q28" s="80"/>
      <c r="R28" s="81"/>
    </row>
    <row r="29" spans="1:18" s="75" customFormat="1" x14ac:dyDescent="0.35">
      <c r="A29" s="59" t="str">
        <f>IF(F29&lt;&gt;"",1+MAX($A$1:A28),"")</f>
        <v/>
      </c>
      <c r="B29" s="28"/>
      <c r="C29" s="142"/>
      <c r="D29" s="145"/>
      <c r="E29" s="89" t="s">
        <v>22</v>
      </c>
      <c r="F29" s="90"/>
      <c r="G29" s="91"/>
      <c r="H29" s="25">
        <f>ROUNDUP(H28*24/500,0)</f>
        <v>1</v>
      </c>
      <c r="I29" s="26" t="s">
        <v>23</v>
      </c>
      <c r="J29" s="178"/>
      <c r="K29" s="178"/>
      <c r="L29" s="178"/>
      <c r="M29" s="178"/>
      <c r="N29" s="178"/>
      <c r="O29" s="178"/>
      <c r="P29" s="79"/>
      <c r="Q29" s="80"/>
      <c r="R29" s="81"/>
    </row>
    <row r="30" spans="1:18" s="75" customFormat="1" x14ac:dyDescent="0.35">
      <c r="A30" s="59" t="str">
        <f>IF(F30&lt;&gt;"",1+MAX($A$1:A29),"")</f>
        <v/>
      </c>
      <c r="B30" s="28"/>
      <c r="C30" s="142"/>
      <c r="D30" s="145"/>
      <c r="E30" s="89" t="s">
        <v>24</v>
      </c>
      <c r="F30" s="90"/>
      <c r="G30" s="91"/>
      <c r="H30" s="92">
        <f>ROUNDUP((H27)/200,0)</f>
        <v>3</v>
      </c>
      <c r="I30" s="26" t="s">
        <v>25</v>
      </c>
      <c r="J30" s="178"/>
      <c r="K30" s="178"/>
      <c r="L30" s="178"/>
      <c r="M30" s="178"/>
      <c r="N30" s="178"/>
      <c r="O30" s="178"/>
      <c r="P30" s="79"/>
      <c r="Q30" s="80"/>
      <c r="R30" s="81"/>
    </row>
    <row r="31" spans="1:18" s="75" customFormat="1" x14ac:dyDescent="0.35">
      <c r="A31" s="59" t="str">
        <f>IF(F31&lt;&gt;"",1+MAX($A$1:A30),"")</f>
        <v/>
      </c>
      <c r="B31" s="28"/>
      <c r="C31" s="142"/>
      <c r="D31" s="145"/>
      <c r="E31" s="89" t="s">
        <v>26</v>
      </c>
      <c r="F31" s="90"/>
      <c r="G31" s="91"/>
      <c r="H31" s="92">
        <f>ROUNDUP((H27)*5.25/1000,0)</f>
        <v>3</v>
      </c>
      <c r="I31" s="26" t="s">
        <v>27</v>
      </c>
      <c r="J31" s="178"/>
      <c r="K31" s="178"/>
      <c r="L31" s="178"/>
      <c r="M31" s="178"/>
      <c r="N31" s="178"/>
      <c r="O31" s="178"/>
      <c r="P31" s="79"/>
      <c r="Q31" s="80"/>
      <c r="R31" s="81"/>
    </row>
    <row r="32" spans="1:18" s="75" customFormat="1" ht="31" x14ac:dyDescent="0.35">
      <c r="A32" s="59">
        <f>IF(F32&lt;&gt;"",1+MAX($A$1:A31),"")</f>
        <v>8</v>
      </c>
      <c r="B32" s="2" t="s">
        <v>56</v>
      </c>
      <c r="C32" s="2" t="s">
        <v>55</v>
      </c>
      <c r="D32" s="145"/>
      <c r="E32" s="87" t="s">
        <v>51</v>
      </c>
      <c r="F32" s="14">
        <f>55.4*2.4</f>
        <v>132.95999999999998</v>
      </c>
      <c r="G32" s="61">
        <v>7.0000000000000007E-2</v>
      </c>
      <c r="H32" s="25">
        <f>F32*(1+G32)</f>
        <v>142.26719999999997</v>
      </c>
      <c r="I32" s="26" t="s">
        <v>16</v>
      </c>
      <c r="J32" s="186">
        <v>0</v>
      </c>
      <c r="K32" s="184">
        <v>0</v>
      </c>
      <c r="L32" s="187">
        <v>0</v>
      </c>
      <c r="M32" s="188">
        <f>J32+L32+K32</f>
        <v>0</v>
      </c>
      <c r="N32" s="182">
        <f>J32*H32</f>
        <v>0</v>
      </c>
      <c r="O32" s="182">
        <f>K32*H32</f>
        <v>0</v>
      </c>
      <c r="P32" s="183">
        <f>L32*H32</f>
        <v>0</v>
      </c>
      <c r="Q32" s="189">
        <f>M32*H32</f>
        <v>0</v>
      </c>
      <c r="R32" s="81"/>
    </row>
    <row r="33" spans="1:18" s="75" customFormat="1" x14ac:dyDescent="0.35">
      <c r="A33" s="59" t="str">
        <f>IF(F33&lt;&gt;"",1+MAX($A$1:A32),"")</f>
        <v/>
      </c>
      <c r="B33" s="28"/>
      <c r="C33" s="142"/>
      <c r="D33" s="145"/>
      <c r="E33" s="89" t="s">
        <v>20</v>
      </c>
      <c r="F33" s="90"/>
      <c r="G33" s="91"/>
      <c r="H33" s="25">
        <f>ROUNDUP((H32)/32,0)</f>
        <v>5</v>
      </c>
      <c r="I33" s="26" t="s">
        <v>21</v>
      </c>
      <c r="J33" s="178"/>
      <c r="K33" s="178"/>
      <c r="L33" s="178"/>
      <c r="M33" s="178"/>
      <c r="N33" s="178"/>
      <c r="O33" s="178"/>
      <c r="P33" s="79"/>
      <c r="Q33" s="80"/>
      <c r="R33" s="81"/>
    </row>
    <row r="34" spans="1:18" s="75" customFormat="1" x14ac:dyDescent="0.35">
      <c r="A34" s="59" t="str">
        <f>IF(F34&lt;&gt;"",1+MAX($A$1:A33),"")</f>
        <v/>
      </c>
      <c r="B34" s="28"/>
      <c r="C34" s="142"/>
      <c r="D34" s="145"/>
      <c r="E34" s="89" t="s">
        <v>22</v>
      </c>
      <c r="F34" s="90"/>
      <c r="G34" s="91"/>
      <c r="H34" s="25">
        <f>ROUNDUP(H33*24/500,0)</f>
        <v>1</v>
      </c>
      <c r="I34" s="26" t="s">
        <v>23</v>
      </c>
      <c r="J34" s="178"/>
      <c r="K34" s="178"/>
      <c r="L34" s="178"/>
      <c r="M34" s="178"/>
      <c r="N34" s="178"/>
      <c r="O34" s="178"/>
      <c r="P34" s="79"/>
      <c r="Q34" s="80"/>
      <c r="R34" s="81"/>
    </row>
    <row r="35" spans="1:18" s="75" customFormat="1" x14ac:dyDescent="0.35">
      <c r="A35" s="59" t="str">
        <f>IF(F35&lt;&gt;"",1+MAX($A$1:A34),"")</f>
        <v/>
      </c>
      <c r="B35" s="28"/>
      <c r="C35" s="142"/>
      <c r="D35" s="145"/>
      <c r="E35" s="89" t="s">
        <v>24</v>
      </c>
      <c r="F35" s="90"/>
      <c r="G35" s="91"/>
      <c r="H35" s="92">
        <f>ROUNDUP((H32)/200,0)</f>
        <v>1</v>
      </c>
      <c r="I35" s="26" t="s">
        <v>25</v>
      </c>
      <c r="J35" s="178"/>
      <c r="K35" s="178"/>
      <c r="L35" s="178"/>
      <c r="M35" s="178"/>
      <c r="N35" s="178"/>
      <c r="O35" s="178"/>
      <c r="P35" s="79"/>
      <c r="Q35" s="80"/>
      <c r="R35" s="81"/>
    </row>
    <row r="36" spans="1:18" s="75" customFormat="1" x14ac:dyDescent="0.35">
      <c r="A36" s="59" t="str">
        <f>IF(F36&lt;&gt;"",1+MAX($A$1:A35),"")</f>
        <v/>
      </c>
      <c r="B36" s="28"/>
      <c r="C36" s="142"/>
      <c r="D36" s="145"/>
      <c r="E36" s="89" t="s">
        <v>26</v>
      </c>
      <c r="F36" s="90"/>
      <c r="G36" s="91"/>
      <c r="H36" s="92">
        <f>ROUNDUP((H32)*5.25/1000,0)</f>
        <v>1</v>
      </c>
      <c r="I36" s="26" t="s">
        <v>27</v>
      </c>
      <c r="J36" s="178"/>
      <c r="K36" s="178"/>
      <c r="L36" s="178"/>
      <c r="M36" s="178"/>
      <c r="N36" s="178"/>
      <c r="O36" s="178"/>
      <c r="P36" s="79"/>
      <c r="Q36" s="80"/>
      <c r="R36" s="81"/>
    </row>
    <row r="37" spans="1:18" s="75" customFormat="1" x14ac:dyDescent="0.35">
      <c r="A37" s="59">
        <f>IF(F37&lt;&gt;"",1+MAX($A$1:A36),"")</f>
        <v>9</v>
      </c>
      <c r="B37" s="2" t="s">
        <v>56</v>
      </c>
      <c r="C37" s="2" t="s">
        <v>55</v>
      </c>
      <c r="D37" s="145"/>
      <c r="E37" s="87" t="s">
        <v>36</v>
      </c>
      <c r="F37" s="14">
        <f>176.9*4</f>
        <v>707.6</v>
      </c>
      <c r="G37" s="61">
        <v>7.0000000000000007E-2</v>
      </c>
      <c r="H37" s="25">
        <f t="shared" ref="H37" si="2">F37*(1+G37)</f>
        <v>757.13200000000006</v>
      </c>
      <c r="I37" s="26" t="s">
        <v>13</v>
      </c>
      <c r="J37" s="187">
        <f t="shared" ref="J37:K37" si="3">J$15</f>
        <v>0</v>
      </c>
      <c r="K37" s="187">
        <f t="shared" si="3"/>
        <v>0</v>
      </c>
      <c r="L37" s="187">
        <v>0</v>
      </c>
      <c r="M37" s="188">
        <f>J37+L37+K37</f>
        <v>0</v>
      </c>
      <c r="N37" s="182">
        <f>J37*H37</f>
        <v>0</v>
      </c>
      <c r="O37" s="182">
        <f>K37*H37</f>
        <v>0</v>
      </c>
      <c r="P37" s="183">
        <f>L37*H37</f>
        <v>0</v>
      </c>
      <c r="Q37" s="189">
        <f>M37*H37</f>
        <v>0</v>
      </c>
      <c r="R37" s="81"/>
    </row>
    <row r="38" spans="1:18" s="75" customFormat="1" x14ac:dyDescent="0.35">
      <c r="A38" s="59">
        <f>IF(F38&lt;&gt;"",1+MAX($A$1:A37),"")</f>
        <v>10</v>
      </c>
      <c r="B38" s="2" t="s">
        <v>56</v>
      </c>
      <c r="C38" s="2" t="s">
        <v>55</v>
      </c>
      <c r="D38" s="145"/>
      <c r="E38" s="87" t="s">
        <v>73</v>
      </c>
      <c r="F38" s="14">
        <f>176.9*12</f>
        <v>2122.8000000000002</v>
      </c>
      <c r="G38" s="61">
        <v>7.0000000000000007E-2</v>
      </c>
      <c r="H38" s="25">
        <f t="shared" ref="H38:H40" si="4">F38*(1+G38)</f>
        <v>2271.3960000000002</v>
      </c>
      <c r="I38" s="26" t="s">
        <v>16</v>
      </c>
      <c r="J38" s="187">
        <f t="shared" ref="J38:K38" si="5">J$16</f>
        <v>0</v>
      </c>
      <c r="K38" s="187">
        <f t="shared" si="5"/>
        <v>0</v>
      </c>
      <c r="L38" s="187">
        <v>0</v>
      </c>
      <c r="M38" s="188">
        <f>J38+L38+K38</f>
        <v>0</v>
      </c>
      <c r="N38" s="182">
        <f>J38*H38</f>
        <v>0</v>
      </c>
      <c r="O38" s="182">
        <f>K38*H38</f>
        <v>0</v>
      </c>
      <c r="P38" s="183">
        <f>L38*H38</f>
        <v>0</v>
      </c>
      <c r="Q38" s="189">
        <f>M38*H38</f>
        <v>0</v>
      </c>
      <c r="R38" s="81"/>
    </row>
    <row r="39" spans="1:18" s="75" customFormat="1" x14ac:dyDescent="0.35">
      <c r="A39" s="59" t="str">
        <f>IF(F39&lt;&gt;"",1+MAX($A$1:A38),"")</f>
        <v/>
      </c>
      <c r="B39" s="2"/>
      <c r="C39" s="2"/>
      <c r="D39" s="145"/>
      <c r="E39" s="244" t="s">
        <v>60</v>
      </c>
      <c r="F39" s="14"/>
      <c r="G39" s="61"/>
      <c r="H39" s="25">
        <f>176.9/1.167+1</f>
        <v>152.58526135389889</v>
      </c>
      <c r="I39" s="26" t="s">
        <v>61</v>
      </c>
      <c r="J39" s="187"/>
      <c r="K39" s="187"/>
      <c r="L39" s="187"/>
      <c r="M39" s="188"/>
      <c r="N39" s="182"/>
      <c r="O39" s="182"/>
      <c r="P39" s="183"/>
      <c r="Q39" s="189"/>
      <c r="R39" s="81"/>
    </row>
    <row r="40" spans="1:18" s="75" customFormat="1" x14ac:dyDescent="0.35">
      <c r="A40" s="59">
        <f>IF(F40&lt;&gt;"",1+MAX($A$1:A39),"")</f>
        <v>11</v>
      </c>
      <c r="B40" s="2" t="s">
        <v>56</v>
      </c>
      <c r="C40" s="2" t="s">
        <v>55</v>
      </c>
      <c r="D40" s="145"/>
      <c r="E40" s="87" t="s">
        <v>72</v>
      </c>
      <c r="F40" s="14">
        <f>176.9*2</f>
        <v>353.8</v>
      </c>
      <c r="G40" s="61">
        <v>7.0000000000000007E-2</v>
      </c>
      <c r="H40" s="25">
        <f t="shared" si="4"/>
        <v>378.56600000000003</v>
      </c>
      <c r="I40" s="26" t="s">
        <v>13</v>
      </c>
      <c r="J40" s="187">
        <f t="shared" ref="J40:K40" si="6">J$18</f>
        <v>0</v>
      </c>
      <c r="K40" s="187">
        <f t="shared" si="6"/>
        <v>0</v>
      </c>
      <c r="L40" s="187">
        <v>0</v>
      </c>
      <c r="M40" s="188">
        <f>J40+L40+K40</f>
        <v>0</v>
      </c>
      <c r="N40" s="182">
        <f>J40*H40</f>
        <v>0</v>
      </c>
      <c r="O40" s="182">
        <f>K40*H40</f>
        <v>0</v>
      </c>
      <c r="P40" s="183">
        <f>L40*H40</f>
        <v>0</v>
      </c>
      <c r="Q40" s="189">
        <f>M40*H40</f>
        <v>0</v>
      </c>
      <c r="R40" s="81"/>
    </row>
    <row r="41" spans="1:18" s="75" customFormat="1" x14ac:dyDescent="0.35">
      <c r="A41" s="59">
        <f>IF(F41&lt;&gt;"",1+MAX($A$1:A40),"")</f>
        <v>12</v>
      </c>
      <c r="B41" s="2" t="s">
        <v>56</v>
      </c>
      <c r="C41" s="2" t="s">
        <v>55</v>
      </c>
      <c r="D41" s="145"/>
      <c r="E41" s="87" t="s">
        <v>71</v>
      </c>
      <c r="F41" s="14">
        <f>(176.9/4+1)*3.5</f>
        <v>158.28749999999999</v>
      </c>
      <c r="G41" s="61">
        <v>7.0000000000000007E-2</v>
      </c>
      <c r="H41" s="25">
        <f t="shared" ref="H41" si="7">F41*(1+G41)</f>
        <v>169.367625</v>
      </c>
      <c r="I41" s="26" t="s">
        <v>13</v>
      </c>
      <c r="J41" s="187">
        <f t="shared" ref="J41:K41" si="8">J$19</f>
        <v>0</v>
      </c>
      <c r="K41" s="187">
        <f t="shared" si="8"/>
        <v>0</v>
      </c>
      <c r="L41" s="187">
        <v>0</v>
      </c>
      <c r="M41" s="188">
        <f>J41+L41+K41</f>
        <v>0</v>
      </c>
      <c r="N41" s="182">
        <f>J41*H41</f>
        <v>0</v>
      </c>
      <c r="O41" s="182">
        <f>K41*H41</f>
        <v>0</v>
      </c>
      <c r="P41" s="183">
        <f>L41*H41</f>
        <v>0</v>
      </c>
      <c r="Q41" s="189">
        <f>M41*H41</f>
        <v>0</v>
      </c>
      <c r="R41" s="81"/>
    </row>
    <row r="42" spans="1:18" s="75" customFormat="1" x14ac:dyDescent="0.35">
      <c r="A42" s="59" t="str">
        <f>IF(F42&lt;&gt;"",1+MAX($A$1:A41),"")</f>
        <v/>
      </c>
      <c r="B42" s="2"/>
      <c r="C42" s="2"/>
      <c r="D42" s="145"/>
      <c r="E42" s="87"/>
      <c r="F42" s="14"/>
      <c r="G42" s="61"/>
      <c r="H42" s="25"/>
      <c r="I42" s="26"/>
      <c r="J42" s="26"/>
      <c r="K42" s="26"/>
      <c r="L42" s="26"/>
      <c r="M42" s="26"/>
      <c r="N42" s="26"/>
      <c r="O42" s="26"/>
      <c r="P42" s="26"/>
      <c r="Q42" s="80"/>
      <c r="R42" s="81"/>
    </row>
    <row r="43" spans="1:18" s="75" customFormat="1" x14ac:dyDescent="0.35">
      <c r="A43" s="59" t="str">
        <f>IF(F43&lt;&gt;"",1+MAX($A$1:A42),"")</f>
        <v/>
      </c>
      <c r="B43" s="2"/>
      <c r="C43" s="2"/>
      <c r="D43" s="77"/>
      <c r="E43" s="83" t="s">
        <v>58</v>
      </c>
      <c r="F43" s="78"/>
      <c r="G43" s="19"/>
      <c r="H43" s="84"/>
      <c r="I43" s="4"/>
      <c r="J43" s="177"/>
      <c r="K43" s="177"/>
      <c r="L43" s="177"/>
      <c r="M43" s="177"/>
      <c r="N43" s="177"/>
      <c r="O43" s="177"/>
      <c r="P43" s="85"/>
      <c r="Q43" s="86"/>
      <c r="R43" s="81"/>
    </row>
    <row r="44" spans="1:18" s="75" customFormat="1" x14ac:dyDescent="0.35">
      <c r="A44" s="59">
        <f>IF(F44&lt;&gt;"",1+MAX($A$1:A43),"")</f>
        <v>13</v>
      </c>
      <c r="B44" s="2" t="s">
        <v>56</v>
      </c>
      <c r="C44" s="2" t="s">
        <v>55</v>
      </c>
      <c r="D44" s="145"/>
      <c r="E44" s="87" t="s">
        <v>52</v>
      </c>
      <c r="F44" s="14">
        <f>97.3*10.5</f>
        <v>1021.65</v>
      </c>
      <c r="G44" s="61">
        <v>7.0000000000000007E-2</v>
      </c>
      <c r="H44" s="25">
        <f>F44*(1+G44)</f>
        <v>1093.1655000000001</v>
      </c>
      <c r="I44" s="26" t="s">
        <v>16</v>
      </c>
      <c r="J44" s="187">
        <f t="shared" ref="J44:K44" si="9">J$10</f>
        <v>0</v>
      </c>
      <c r="K44" s="247">
        <f t="shared" si="9"/>
        <v>0</v>
      </c>
      <c r="L44" s="187">
        <v>0</v>
      </c>
      <c r="M44" s="188">
        <f>J44+L44+K44</f>
        <v>0</v>
      </c>
      <c r="N44" s="182">
        <f>J44*H44</f>
        <v>0</v>
      </c>
      <c r="O44" s="182">
        <f>K44*H44</f>
        <v>0</v>
      </c>
      <c r="P44" s="183">
        <f>L44*H44</f>
        <v>0</v>
      </c>
      <c r="Q44" s="189">
        <f>M44*H44</f>
        <v>0</v>
      </c>
      <c r="R44" s="81"/>
    </row>
    <row r="45" spans="1:18" s="75" customFormat="1" x14ac:dyDescent="0.35">
      <c r="A45" s="59" t="str">
        <f>IF(F45&lt;&gt;"",1+MAX($A$1:A44),"")</f>
        <v/>
      </c>
      <c r="B45" s="28"/>
      <c r="C45" s="142"/>
      <c r="D45" s="88"/>
      <c r="E45" s="89" t="s">
        <v>20</v>
      </c>
      <c r="F45" s="90"/>
      <c r="G45" s="91"/>
      <c r="H45" s="25">
        <f>ROUNDUP((H44)/32,0)</f>
        <v>35</v>
      </c>
      <c r="I45" s="26" t="s">
        <v>21</v>
      </c>
      <c r="J45" s="178"/>
      <c r="K45" s="178"/>
      <c r="L45" s="178"/>
      <c r="M45" s="178"/>
      <c r="N45" s="178"/>
      <c r="O45" s="178"/>
      <c r="P45" s="79"/>
      <c r="Q45" s="80"/>
      <c r="R45" s="81"/>
    </row>
    <row r="46" spans="1:18" s="75" customFormat="1" x14ac:dyDescent="0.35">
      <c r="A46" s="59" t="str">
        <f>IF(F46&lt;&gt;"",1+MAX($A$1:A45),"")</f>
        <v/>
      </c>
      <c r="B46" s="28"/>
      <c r="C46" s="142"/>
      <c r="D46" s="88"/>
      <c r="E46" s="89" t="s">
        <v>22</v>
      </c>
      <c r="F46" s="90"/>
      <c r="G46" s="91"/>
      <c r="H46" s="25">
        <f>ROUNDUP(H45*24/500,0)</f>
        <v>2</v>
      </c>
      <c r="I46" s="26" t="s">
        <v>23</v>
      </c>
      <c r="J46" s="178"/>
      <c r="K46" s="178"/>
      <c r="L46" s="178"/>
      <c r="M46" s="178"/>
      <c r="N46" s="178"/>
      <c r="O46" s="178"/>
      <c r="P46" s="79"/>
      <c r="Q46" s="80"/>
      <c r="R46" s="81"/>
    </row>
    <row r="47" spans="1:18" s="75" customFormat="1" x14ac:dyDescent="0.35">
      <c r="A47" s="59" t="str">
        <f>IF(F47&lt;&gt;"",1+MAX($A$1:A46),"")</f>
        <v/>
      </c>
      <c r="B47" s="28"/>
      <c r="C47" s="142"/>
      <c r="D47" s="88"/>
      <c r="E47" s="89" t="s">
        <v>24</v>
      </c>
      <c r="F47" s="90"/>
      <c r="G47" s="91"/>
      <c r="H47" s="92">
        <f>ROUNDUP((H44)/200,0)</f>
        <v>6</v>
      </c>
      <c r="I47" s="26" t="s">
        <v>25</v>
      </c>
      <c r="J47" s="178"/>
      <c r="K47" s="178"/>
      <c r="L47" s="178"/>
      <c r="M47" s="178"/>
      <c r="N47" s="178"/>
      <c r="O47" s="178"/>
      <c r="P47" s="79"/>
      <c r="Q47" s="80"/>
      <c r="R47" s="81"/>
    </row>
    <row r="48" spans="1:18" s="75" customFormat="1" x14ac:dyDescent="0.35">
      <c r="A48" s="59" t="str">
        <f>IF(F48&lt;&gt;"",1+MAX($A$1:A47),"")</f>
        <v/>
      </c>
      <c r="B48" s="28"/>
      <c r="C48" s="142"/>
      <c r="D48" s="88"/>
      <c r="E48" s="89" t="s">
        <v>26</v>
      </c>
      <c r="F48" s="90"/>
      <c r="G48" s="91"/>
      <c r="H48" s="92">
        <f>ROUNDUP((H44)*5.25/1000,0)</f>
        <v>6</v>
      </c>
      <c r="I48" s="26" t="s">
        <v>27</v>
      </c>
      <c r="J48" s="178"/>
      <c r="K48" s="178"/>
      <c r="L48" s="178"/>
      <c r="M48" s="178"/>
      <c r="N48" s="178"/>
      <c r="O48" s="178"/>
      <c r="P48" s="79"/>
      <c r="Q48" s="80"/>
      <c r="R48" s="81"/>
    </row>
    <row r="49" spans="1:18" s="75" customFormat="1" x14ac:dyDescent="0.35">
      <c r="A49" s="59">
        <f>IF(F49&lt;&gt;"",1+MAX($A$1:A48),"")</f>
        <v>14</v>
      </c>
      <c r="B49" s="2" t="s">
        <v>56</v>
      </c>
      <c r="C49" s="2" t="s">
        <v>55</v>
      </c>
      <c r="D49" s="88"/>
      <c r="E49" s="87" t="s">
        <v>36</v>
      </c>
      <c r="F49" s="14">
        <f>97.3*2</f>
        <v>194.6</v>
      </c>
      <c r="G49" s="61">
        <v>7.0000000000000007E-2</v>
      </c>
      <c r="H49" s="25">
        <f t="shared" ref="H49:H53" si="10">F49*(1+G49)</f>
        <v>208.22200000000001</v>
      </c>
      <c r="I49" s="26" t="s">
        <v>13</v>
      </c>
      <c r="J49" s="187">
        <f t="shared" ref="J49:K49" si="11">J$15</f>
        <v>0</v>
      </c>
      <c r="K49" s="187">
        <f t="shared" si="11"/>
        <v>0</v>
      </c>
      <c r="L49" s="187">
        <v>0</v>
      </c>
      <c r="M49" s="188">
        <f>J49+L49+K49</f>
        <v>0</v>
      </c>
      <c r="N49" s="182">
        <f>J49*H49</f>
        <v>0</v>
      </c>
      <c r="O49" s="182">
        <f>K49*H49</f>
        <v>0</v>
      </c>
      <c r="P49" s="183">
        <f>L49*H49</f>
        <v>0</v>
      </c>
      <c r="Q49" s="189">
        <f>M49*H49</f>
        <v>0</v>
      </c>
      <c r="R49" s="81"/>
    </row>
    <row r="50" spans="1:18" s="75" customFormat="1" x14ac:dyDescent="0.35">
      <c r="A50" s="59">
        <f>IF(F50&lt;&gt;"",1+MAX($A$1:A49),"")</f>
        <v>15</v>
      </c>
      <c r="B50" s="2" t="s">
        <v>56</v>
      </c>
      <c r="C50" s="2" t="s">
        <v>55</v>
      </c>
      <c r="D50" s="145"/>
      <c r="E50" s="87" t="s">
        <v>73</v>
      </c>
      <c r="F50" s="14">
        <f>97.3*12</f>
        <v>1167.5999999999999</v>
      </c>
      <c r="G50" s="61">
        <v>7.0000000000000007E-2</v>
      </c>
      <c r="H50" s="25">
        <f t="shared" si="10"/>
        <v>1249.3319999999999</v>
      </c>
      <c r="I50" s="26" t="s">
        <v>16</v>
      </c>
      <c r="J50" s="187">
        <f t="shared" ref="J50:K50" si="12">J$16</f>
        <v>0</v>
      </c>
      <c r="K50" s="187">
        <f t="shared" si="12"/>
        <v>0</v>
      </c>
      <c r="L50" s="187">
        <v>0</v>
      </c>
      <c r="M50" s="188">
        <f>J50+L50+K50</f>
        <v>0</v>
      </c>
      <c r="N50" s="182">
        <f>J50*H50</f>
        <v>0</v>
      </c>
      <c r="O50" s="182">
        <f>K50*H50</f>
        <v>0</v>
      </c>
      <c r="P50" s="183">
        <f>L50*H50</f>
        <v>0</v>
      </c>
      <c r="Q50" s="189">
        <f>M50*H50</f>
        <v>0</v>
      </c>
      <c r="R50" s="81"/>
    </row>
    <row r="51" spans="1:18" s="75" customFormat="1" x14ac:dyDescent="0.35">
      <c r="A51" s="59" t="str">
        <f>IF(F51&lt;&gt;"",1+MAX($A$1:A50),"")</f>
        <v/>
      </c>
      <c r="B51" s="2"/>
      <c r="C51" s="2"/>
      <c r="D51" s="145"/>
      <c r="E51" s="244" t="s">
        <v>60</v>
      </c>
      <c r="F51" s="14"/>
      <c r="G51" s="61"/>
      <c r="H51" s="25">
        <f>97.3/1.167+1</f>
        <v>84.376178234790061</v>
      </c>
      <c r="I51" s="26" t="s">
        <v>61</v>
      </c>
      <c r="J51" s="187"/>
      <c r="K51" s="187"/>
      <c r="L51" s="187"/>
      <c r="M51" s="188"/>
      <c r="N51" s="182"/>
      <c r="O51" s="182"/>
      <c r="P51" s="183"/>
      <c r="Q51" s="189"/>
      <c r="R51" s="81"/>
    </row>
    <row r="52" spans="1:18" s="75" customFormat="1" x14ac:dyDescent="0.35">
      <c r="A52" s="59">
        <f>IF(F52&lt;&gt;"",1+MAX($A$1:A51),"")</f>
        <v>16</v>
      </c>
      <c r="B52" s="2" t="s">
        <v>56</v>
      </c>
      <c r="C52" s="2" t="s">
        <v>55</v>
      </c>
      <c r="D52" s="145"/>
      <c r="E52" s="87" t="s">
        <v>72</v>
      </c>
      <c r="F52" s="14">
        <f>97.3*2</f>
        <v>194.6</v>
      </c>
      <c r="G52" s="61">
        <v>7.0000000000000007E-2</v>
      </c>
      <c r="H52" s="25">
        <f t="shared" si="10"/>
        <v>208.22200000000001</v>
      </c>
      <c r="I52" s="26" t="s">
        <v>13</v>
      </c>
      <c r="J52" s="187">
        <f t="shared" ref="J52:K52" si="13">J$18</f>
        <v>0</v>
      </c>
      <c r="K52" s="187">
        <f t="shared" si="13"/>
        <v>0</v>
      </c>
      <c r="L52" s="187">
        <v>0</v>
      </c>
      <c r="M52" s="188">
        <f>J52+L52+K52</f>
        <v>0</v>
      </c>
      <c r="N52" s="182">
        <f>J52*H52</f>
        <v>0</v>
      </c>
      <c r="O52" s="182">
        <f>K52*H52</f>
        <v>0</v>
      </c>
      <c r="P52" s="183">
        <f>L52*H52</f>
        <v>0</v>
      </c>
      <c r="Q52" s="189">
        <f>M52*H52</f>
        <v>0</v>
      </c>
      <c r="R52" s="81"/>
    </row>
    <row r="53" spans="1:18" s="75" customFormat="1" x14ac:dyDescent="0.35">
      <c r="A53" s="59">
        <f>IF(F53&lt;&gt;"",1+MAX($A$1:A52),"")</f>
        <v>17</v>
      </c>
      <c r="B53" s="2" t="s">
        <v>56</v>
      </c>
      <c r="C53" s="2" t="s">
        <v>55</v>
      </c>
      <c r="D53" s="145"/>
      <c r="E53" s="87" t="s">
        <v>71</v>
      </c>
      <c r="F53" s="14">
        <f>(97.3/4+1)*3.5</f>
        <v>88.637500000000003</v>
      </c>
      <c r="G53" s="61">
        <v>7.0000000000000007E-2</v>
      </c>
      <c r="H53" s="25">
        <f t="shared" si="10"/>
        <v>94.84212500000001</v>
      </c>
      <c r="I53" s="26" t="s">
        <v>13</v>
      </c>
      <c r="J53" s="187">
        <f t="shared" ref="J53:K53" si="14">J$19</f>
        <v>0</v>
      </c>
      <c r="K53" s="187">
        <f t="shared" si="14"/>
        <v>0</v>
      </c>
      <c r="L53" s="187">
        <v>0</v>
      </c>
      <c r="M53" s="188">
        <f>J53+L53+K53</f>
        <v>0</v>
      </c>
      <c r="N53" s="182">
        <f>J53*H53</f>
        <v>0</v>
      </c>
      <c r="O53" s="182">
        <f>K53*H53</f>
        <v>0</v>
      </c>
      <c r="P53" s="183">
        <f>L53*H53</f>
        <v>0</v>
      </c>
      <c r="Q53" s="189">
        <f>M53*H53</f>
        <v>0</v>
      </c>
      <c r="R53" s="81"/>
    </row>
    <row r="54" spans="1:18" s="75" customFormat="1" x14ac:dyDescent="0.35">
      <c r="A54" s="59" t="str">
        <f>IF(F54&lt;&gt;"",1+MAX($A$1:A53),"")</f>
        <v/>
      </c>
      <c r="B54" s="2"/>
      <c r="C54" s="2"/>
      <c r="D54" s="145"/>
      <c r="E54" s="87"/>
      <c r="F54" s="14"/>
      <c r="G54" s="61"/>
      <c r="H54" s="25"/>
      <c r="I54" s="26"/>
      <c r="J54" s="26"/>
      <c r="K54" s="26"/>
      <c r="L54" s="26"/>
      <c r="M54" s="26"/>
      <c r="N54" s="26"/>
      <c r="O54" s="26"/>
      <c r="P54" s="26"/>
      <c r="Q54" s="80"/>
      <c r="R54" s="81"/>
    </row>
    <row r="55" spans="1:18" s="75" customFormat="1" x14ac:dyDescent="0.35">
      <c r="A55" s="59" t="str">
        <f>IF(F55&lt;&gt;"",1+MAX($A$1:A54),"")</f>
        <v/>
      </c>
      <c r="B55" s="2"/>
      <c r="C55" s="2"/>
      <c r="D55" s="77"/>
      <c r="E55" s="83" t="s">
        <v>63</v>
      </c>
      <c r="F55" s="78"/>
      <c r="G55" s="19"/>
      <c r="H55" s="84"/>
      <c r="I55" s="4"/>
      <c r="J55" s="177"/>
      <c r="K55" s="177"/>
      <c r="L55" s="177"/>
      <c r="M55" s="177"/>
      <c r="N55" s="177"/>
      <c r="O55" s="177"/>
      <c r="P55" s="85"/>
      <c r="Q55" s="86"/>
      <c r="R55" s="81"/>
    </row>
    <row r="56" spans="1:18" s="75" customFormat="1" x14ac:dyDescent="0.35">
      <c r="A56" s="59">
        <f>IF(F56&lt;&gt;"",1+MAX($A$1:A55),"")</f>
        <v>18</v>
      </c>
      <c r="B56" s="2" t="s">
        <v>56</v>
      </c>
      <c r="C56" s="2" t="s">
        <v>55</v>
      </c>
      <c r="D56" s="145"/>
      <c r="E56" s="87" t="s">
        <v>52</v>
      </c>
      <c r="F56" s="14">
        <f>16.9*10.5</f>
        <v>177.45</v>
      </c>
      <c r="G56" s="61">
        <v>7.0000000000000007E-2</v>
      </c>
      <c r="H56" s="25">
        <f>F56*(1+G56)</f>
        <v>189.8715</v>
      </c>
      <c r="I56" s="26" t="s">
        <v>16</v>
      </c>
      <c r="J56" s="187">
        <f t="shared" ref="J56:K56" si="15">J$10</f>
        <v>0</v>
      </c>
      <c r="K56" s="247">
        <f t="shared" si="15"/>
        <v>0</v>
      </c>
      <c r="L56" s="187">
        <v>0</v>
      </c>
      <c r="M56" s="188">
        <f>J56+L56+K56</f>
        <v>0</v>
      </c>
      <c r="N56" s="182">
        <f>J56*H56</f>
        <v>0</v>
      </c>
      <c r="O56" s="182">
        <f>K56*H56</f>
        <v>0</v>
      </c>
      <c r="P56" s="183">
        <f>L56*H56</f>
        <v>0</v>
      </c>
      <c r="Q56" s="189">
        <f>M56*H56</f>
        <v>0</v>
      </c>
      <c r="R56" s="81"/>
    </row>
    <row r="57" spans="1:18" s="75" customFormat="1" x14ac:dyDescent="0.35">
      <c r="A57" s="59" t="str">
        <f>IF(F57&lt;&gt;"",1+MAX($A$1:A56),"")</f>
        <v/>
      </c>
      <c r="B57" s="28"/>
      <c r="C57" s="142"/>
      <c r="D57" s="88"/>
      <c r="E57" s="89" t="s">
        <v>20</v>
      </c>
      <c r="F57" s="90"/>
      <c r="G57" s="91"/>
      <c r="H57" s="25">
        <f>ROUNDUP((H56)/32,0)</f>
        <v>6</v>
      </c>
      <c r="I57" s="26" t="s">
        <v>21</v>
      </c>
      <c r="J57" s="178"/>
      <c r="K57" s="178"/>
      <c r="L57" s="178"/>
      <c r="M57" s="178"/>
      <c r="N57" s="178"/>
      <c r="O57" s="178"/>
      <c r="P57" s="79"/>
      <c r="Q57" s="80"/>
      <c r="R57" s="81"/>
    </row>
    <row r="58" spans="1:18" s="75" customFormat="1" x14ac:dyDescent="0.35">
      <c r="A58" s="59" t="str">
        <f>IF(F58&lt;&gt;"",1+MAX($A$1:A57),"")</f>
        <v/>
      </c>
      <c r="B58" s="28"/>
      <c r="C58" s="142"/>
      <c r="D58" s="88"/>
      <c r="E58" s="89" t="s">
        <v>22</v>
      </c>
      <c r="F58" s="90"/>
      <c r="G58" s="91"/>
      <c r="H58" s="25">
        <f>ROUNDUP(H57*24/500,0)</f>
        <v>1</v>
      </c>
      <c r="I58" s="26" t="s">
        <v>23</v>
      </c>
      <c r="J58" s="178"/>
      <c r="K58" s="178"/>
      <c r="L58" s="178"/>
      <c r="M58" s="178"/>
      <c r="N58" s="178"/>
      <c r="O58" s="178"/>
      <c r="P58" s="79"/>
      <c r="Q58" s="80"/>
      <c r="R58" s="81"/>
    </row>
    <row r="59" spans="1:18" s="75" customFormat="1" x14ac:dyDescent="0.35">
      <c r="A59" s="59" t="str">
        <f>IF(F59&lt;&gt;"",1+MAX($A$1:A58),"")</f>
        <v/>
      </c>
      <c r="B59" s="28"/>
      <c r="C59" s="142"/>
      <c r="D59" s="88"/>
      <c r="E59" s="89" t="s">
        <v>24</v>
      </c>
      <c r="F59" s="90"/>
      <c r="G59" s="91"/>
      <c r="H59" s="92">
        <f>ROUNDUP((H56)/200,0)</f>
        <v>1</v>
      </c>
      <c r="I59" s="26" t="s">
        <v>25</v>
      </c>
      <c r="J59" s="178"/>
      <c r="K59" s="178"/>
      <c r="L59" s="178"/>
      <c r="M59" s="178"/>
      <c r="N59" s="178"/>
      <c r="O59" s="178"/>
      <c r="P59" s="79"/>
      <c r="Q59" s="80"/>
      <c r="R59" s="81"/>
    </row>
    <row r="60" spans="1:18" s="75" customFormat="1" x14ac:dyDescent="0.35">
      <c r="A60" s="59" t="str">
        <f>IF(F60&lt;&gt;"",1+MAX($A$1:A59),"")</f>
        <v/>
      </c>
      <c r="B60" s="28"/>
      <c r="C60" s="142"/>
      <c r="D60" s="88"/>
      <c r="E60" s="89" t="s">
        <v>26</v>
      </c>
      <c r="F60" s="90"/>
      <c r="G60" s="91"/>
      <c r="H60" s="92">
        <f>ROUNDUP((H56)*5.25/1000,0)</f>
        <v>1</v>
      </c>
      <c r="I60" s="26" t="s">
        <v>27</v>
      </c>
      <c r="J60" s="178"/>
      <c r="K60" s="178"/>
      <c r="L60" s="178"/>
      <c r="M60" s="178"/>
      <c r="N60" s="178"/>
      <c r="O60" s="178"/>
      <c r="P60" s="79"/>
      <c r="Q60" s="80"/>
      <c r="R60" s="81"/>
    </row>
    <row r="61" spans="1:18" s="75" customFormat="1" x14ac:dyDescent="0.35">
      <c r="A61" s="59">
        <f>IF(F61&lt;&gt;"",1+MAX($A$1:A60),"")</f>
        <v>19</v>
      </c>
      <c r="B61" s="2" t="s">
        <v>56</v>
      </c>
      <c r="C61" s="2" t="s">
        <v>55</v>
      </c>
      <c r="D61" s="88"/>
      <c r="E61" s="87" t="s">
        <v>36</v>
      </c>
      <c r="F61" s="14">
        <f>16.9*2</f>
        <v>33.799999999999997</v>
      </c>
      <c r="G61" s="61">
        <v>7.0000000000000007E-2</v>
      </c>
      <c r="H61" s="25">
        <f t="shared" ref="H61:H62" si="16">F61*(1+G61)</f>
        <v>36.165999999999997</v>
      </c>
      <c r="I61" s="26" t="s">
        <v>13</v>
      </c>
      <c r="J61" s="187">
        <f t="shared" ref="J61:K61" si="17">J$15</f>
        <v>0</v>
      </c>
      <c r="K61" s="187">
        <f t="shared" si="17"/>
        <v>0</v>
      </c>
      <c r="L61" s="187">
        <v>0</v>
      </c>
      <c r="M61" s="188">
        <f>J61+L61+K61</f>
        <v>0</v>
      </c>
      <c r="N61" s="182">
        <f>J61*H61</f>
        <v>0</v>
      </c>
      <c r="O61" s="182">
        <f>K61*H61</f>
        <v>0</v>
      </c>
      <c r="P61" s="183">
        <f>L61*H61</f>
        <v>0</v>
      </c>
      <c r="Q61" s="189">
        <f>M61*H61</f>
        <v>0</v>
      </c>
      <c r="R61" s="81"/>
    </row>
    <row r="62" spans="1:18" s="75" customFormat="1" x14ac:dyDescent="0.35">
      <c r="A62" s="59">
        <f>IF(F62&lt;&gt;"",1+MAX($A$1:A61),"")</f>
        <v>20</v>
      </c>
      <c r="B62" s="2" t="s">
        <v>56</v>
      </c>
      <c r="C62" s="2" t="s">
        <v>55</v>
      </c>
      <c r="D62" s="145"/>
      <c r="E62" s="87" t="s">
        <v>73</v>
      </c>
      <c r="F62" s="14">
        <f>16.9*12</f>
        <v>202.79999999999998</v>
      </c>
      <c r="G62" s="61">
        <v>7.0000000000000007E-2</v>
      </c>
      <c r="H62" s="25">
        <f t="shared" si="16"/>
        <v>216.99599999999998</v>
      </c>
      <c r="I62" s="26" t="s">
        <v>16</v>
      </c>
      <c r="J62" s="187">
        <f t="shared" ref="J62:K62" si="18">J$16</f>
        <v>0</v>
      </c>
      <c r="K62" s="187">
        <f t="shared" si="18"/>
        <v>0</v>
      </c>
      <c r="L62" s="187">
        <v>0</v>
      </c>
      <c r="M62" s="188">
        <f>J62+L62+K62</f>
        <v>0</v>
      </c>
      <c r="N62" s="182">
        <f>J62*H62</f>
        <v>0</v>
      </c>
      <c r="O62" s="182">
        <f>K62*H62</f>
        <v>0</v>
      </c>
      <c r="P62" s="183">
        <f>L62*H62</f>
        <v>0</v>
      </c>
      <c r="Q62" s="189">
        <f>M62*H62</f>
        <v>0</v>
      </c>
      <c r="R62" s="81"/>
    </row>
    <row r="63" spans="1:18" s="75" customFormat="1" x14ac:dyDescent="0.35">
      <c r="A63" s="59" t="str">
        <f>IF(F63&lt;&gt;"",1+MAX($A$1:A62),"")</f>
        <v/>
      </c>
      <c r="B63" s="2"/>
      <c r="C63" s="2"/>
      <c r="D63" s="145"/>
      <c r="E63" s="244" t="s">
        <v>60</v>
      </c>
      <c r="F63" s="14"/>
      <c r="G63" s="61"/>
      <c r="H63" s="25">
        <f>16.9/1.167+1</f>
        <v>15.481576692373606</v>
      </c>
      <c r="I63" s="26" t="s">
        <v>61</v>
      </c>
      <c r="J63" s="187"/>
      <c r="K63" s="187"/>
      <c r="L63" s="187"/>
      <c r="M63" s="188"/>
      <c r="N63" s="182"/>
      <c r="O63" s="182"/>
      <c r="P63" s="183"/>
      <c r="Q63" s="189"/>
      <c r="R63" s="81"/>
    </row>
    <row r="64" spans="1:18" s="75" customFormat="1" x14ac:dyDescent="0.35">
      <c r="A64" s="59">
        <f>IF(F64&lt;&gt;"",1+MAX($A$1:A63),"")</f>
        <v>21</v>
      </c>
      <c r="B64" s="2" t="s">
        <v>56</v>
      </c>
      <c r="C64" s="2" t="s">
        <v>55</v>
      </c>
      <c r="D64" s="145"/>
      <c r="E64" s="87" t="s">
        <v>72</v>
      </c>
      <c r="F64" s="14">
        <f>16.9*2</f>
        <v>33.799999999999997</v>
      </c>
      <c r="G64" s="61">
        <v>7.0000000000000007E-2</v>
      </c>
      <c r="H64" s="25">
        <f t="shared" ref="H64:H65" si="19">F64*(1+G64)</f>
        <v>36.165999999999997</v>
      </c>
      <c r="I64" s="26" t="s">
        <v>13</v>
      </c>
      <c r="J64" s="187">
        <f t="shared" ref="J64:K64" si="20">J$18</f>
        <v>0</v>
      </c>
      <c r="K64" s="187">
        <f t="shared" si="20"/>
        <v>0</v>
      </c>
      <c r="L64" s="187">
        <v>0</v>
      </c>
      <c r="M64" s="188">
        <f>J64+L64+K64</f>
        <v>0</v>
      </c>
      <c r="N64" s="182">
        <f>J64*H64</f>
        <v>0</v>
      </c>
      <c r="O64" s="182">
        <f>K64*H64</f>
        <v>0</v>
      </c>
      <c r="P64" s="183">
        <f>L64*H64</f>
        <v>0</v>
      </c>
      <c r="Q64" s="189">
        <f>M64*H64</f>
        <v>0</v>
      </c>
      <c r="R64" s="81"/>
    </row>
    <row r="65" spans="1:18" s="75" customFormat="1" x14ac:dyDescent="0.35">
      <c r="A65" s="59">
        <f>IF(F65&lt;&gt;"",1+MAX($A$1:A64),"")</f>
        <v>22</v>
      </c>
      <c r="B65" s="2" t="s">
        <v>56</v>
      </c>
      <c r="C65" s="2" t="s">
        <v>55</v>
      </c>
      <c r="D65" s="145"/>
      <c r="E65" s="87" t="s">
        <v>71</v>
      </c>
      <c r="F65" s="14">
        <f>(16.9/4+1)*3.5</f>
        <v>18.287499999999998</v>
      </c>
      <c r="G65" s="61">
        <v>7.0000000000000007E-2</v>
      </c>
      <c r="H65" s="25">
        <f t="shared" si="19"/>
        <v>19.567625</v>
      </c>
      <c r="I65" s="26" t="s">
        <v>13</v>
      </c>
      <c r="J65" s="187">
        <f t="shared" ref="J65:K65" si="21">J$19</f>
        <v>0</v>
      </c>
      <c r="K65" s="187">
        <f t="shared" si="21"/>
        <v>0</v>
      </c>
      <c r="L65" s="187">
        <v>0</v>
      </c>
      <c r="M65" s="188">
        <f>J65+L65+K65</f>
        <v>0</v>
      </c>
      <c r="N65" s="182">
        <f>J65*H65</f>
        <v>0</v>
      </c>
      <c r="O65" s="182">
        <f>K65*H65</f>
        <v>0</v>
      </c>
      <c r="P65" s="183">
        <f>L65*H65</f>
        <v>0</v>
      </c>
      <c r="Q65" s="189">
        <f>M65*H65</f>
        <v>0</v>
      </c>
      <c r="R65" s="81"/>
    </row>
    <row r="66" spans="1:18" s="75" customFormat="1" x14ac:dyDescent="0.35">
      <c r="A66" s="59" t="str">
        <f>IF(F66&lt;&gt;"",1+MAX($A$1:A65),"")</f>
        <v/>
      </c>
      <c r="B66" s="2"/>
      <c r="C66" s="2"/>
      <c r="D66" s="145"/>
      <c r="E66" s="87"/>
      <c r="F66" s="14"/>
      <c r="G66" s="61"/>
      <c r="H66" s="25"/>
      <c r="I66" s="26"/>
      <c r="J66" s="26"/>
      <c r="K66" s="26"/>
      <c r="L66" s="26"/>
      <c r="M66" s="26"/>
      <c r="N66" s="26"/>
      <c r="O66" s="26"/>
      <c r="P66" s="26"/>
      <c r="Q66" s="80"/>
      <c r="R66" s="81"/>
    </row>
    <row r="67" spans="1:18" s="75" customFormat="1" x14ac:dyDescent="0.35">
      <c r="A67" s="59" t="str">
        <f>IF(F67&lt;&gt;"",1+MAX($A$1:A66),"")</f>
        <v/>
      </c>
      <c r="B67" s="2"/>
      <c r="C67" s="2"/>
      <c r="D67" s="77"/>
      <c r="E67" s="83" t="s">
        <v>64</v>
      </c>
      <c r="F67" s="78"/>
      <c r="G67" s="19"/>
      <c r="H67" s="84"/>
      <c r="I67" s="4"/>
      <c r="J67" s="177"/>
      <c r="K67" s="177"/>
      <c r="L67" s="177"/>
      <c r="M67" s="177"/>
      <c r="N67" s="177"/>
      <c r="O67" s="177"/>
      <c r="P67" s="85"/>
      <c r="Q67" s="86"/>
      <c r="R67" s="81"/>
    </row>
    <row r="68" spans="1:18" s="75" customFormat="1" x14ac:dyDescent="0.35">
      <c r="A68" s="59">
        <f>IF(F68&lt;&gt;"",1+MAX($A$1:A67),"")</f>
        <v>23</v>
      </c>
      <c r="B68" s="2" t="s">
        <v>56</v>
      </c>
      <c r="C68" s="2" t="s">
        <v>65</v>
      </c>
      <c r="D68" s="145"/>
      <c r="E68" s="87" t="s">
        <v>66</v>
      </c>
      <c r="F68" s="14">
        <f>4.2*9</f>
        <v>37.800000000000004</v>
      </c>
      <c r="G68" s="61">
        <v>7.0000000000000007E-2</v>
      </c>
      <c r="H68" s="25">
        <f t="shared" ref="H68:H69" si="22">F68*(1+G68)</f>
        <v>40.446000000000005</v>
      </c>
      <c r="I68" s="26" t="s">
        <v>16</v>
      </c>
      <c r="J68" s="186">
        <v>0</v>
      </c>
      <c r="K68" s="186">
        <v>0</v>
      </c>
      <c r="L68" s="187">
        <v>0</v>
      </c>
      <c r="M68" s="188">
        <f>J68+L68+K68</f>
        <v>0</v>
      </c>
      <c r="N68" s="182">
        <f>J68*H68</f>
        <v>0</v>
      </c>
      <c r="O68" s="182">
        <f>K68*H68</f>
        <v>0</v>
      </c>
      <c r="P68" s="183">
        <f>L68*H68</f>
        <v>0</v>
      </c>
      <c r="Q68" s="189">
        <f>M68*H68</f>
        <v>0</v>
      </c>
      <c r="R68" s="81"/>
    </row>
    <row r="69" spans="1:18" s="75" customFormat="1" x14ac:dyDescent="0.35">
      <c r="A69" s="59">
        <f>IF(F69&lt;&gt;"",1+MAX($A$1:A68),"")</f>
        <v>24</v>
      </c>
      <c r="B69" s="2" t="s">
        <v>56</v>
      </c>
      <c r="C69" s="2" t="s">
        <v>65</v>
      </c>
      <c r="D69" s="145"/>
      <c r="E69" s="87" t="s">
        <v>70</v>
      </c>
      <c r="F69" s="14">
        <f>4.2*9</f>
        <v>37.800000000000004</v>
      </c>
      <c r="G69" s="61">
        <v>7.0000000000000007E-2</v>
      </c>
      <c r="H69" s="25">
        <f t="shared" si="22"/>
        <v>40.446000000000005</v>
      </c>
      <c r="I69" s="26" t="s">
        <v>16</v>
      </c>
      <c r="J69" s="186">
        <v>0</v>
      </c>
      <c r="K69" s="186">
        <v>0</v>
      </c>
      <c r="L69" s="187">
        <v>0</v>
      </c>
      <c r="M69" s="188">
        <f>J69+L69+K69</f>
        <v>0</v>
      </c>
      <c r="N69" s="182">
        <f>J69*H69</f>
        <v>0</v>
      </c>
      <c r="O69" s="182">
        <f>K69*H69</f>
        <v>0</v>
      </c>
      <c r="P69" s="183">
        <f>L69*H69</f>
        <v>0</v>
      </c>
      <c r="Q69" s="189">
        <f>M69*H69</f>
        <v>0</v>
      </c>
      <c r="R69" s="81"/>
    </row>
    <row r="70" spans="1:18" s="75" customFormat="1" x14ac:dyDescent="0.35">
      <c r="A70" s="59" t="str">
        <f>IF(F70&lt;&gt;"",1+MAX($A$1:A69),"")</f>
        <v/>
      </c>
      <c r="B70" s="2"/>
      <c r="C70" s="2"/>
      <c r="D70" s="145"/>
      <c r="E70" s="244" t="s">
        <v>60</v>
      </c>
      <c r="F70" s="14"/>
      <c r="G70" s="61"/>
      <c r="H70" s="25">
        <f>4.2/1.167+1</f>
        <v>4.5989717223650386</v>
      </c>
      <c r="I70" s="26" t="s">
        <v>61</v>
      </c>
      <c r="J70" s="187"/>
      <c r="K70" s="187"/>
      <c r="L70" s="187"/>
      <c r="M70" s="188"/>
      <c r="N70" s="182"/>
      <c r="O70" s="182"/>
      <c r="P70" s="183"/>
      <c r="Q70" s="189"/>
      <c r="R70" s="81"/>
    </row>
    <row r="71" spans="1:18" s="75" customFormat="1" x14ac:dyDescent="0.35">
      <c r="A71" s="59">
        <f>IF(F71&lt;&gt;"",1+MAX($A$1:A70),"")</f>
        <v>25</v>
      </c>
      <c r="B71" s="2" t="s">
        <v>56</v>
      </c>
      <c r="C71" s="2" t="s">
        <v>65</v>
      </c>
      <c r="D71" s="145"/>
      <c r="E71" s="87" t="s">
        <v>69</v>
      </c>
      <c r="F71" s="14">
        <f>4.2*2</f>
        <v>8.4</v>
      </c>
      <c r="G71" s="61">
        <v>7.0000000000000007E-2</v>
      </c>
      <c r="H71" s="25">
        <f t="shared" ref="H71" si="23">F71*(1+G71)</f>
        <v>8.9880000000000013</v>
      </c>
      <c r="I71" s="26" t="s">
        <v>13</v>
      </c>
      <c r="J71" s="186">
        <v>0</v>
      </c>
      <c r="K71" s="186">
        <v>0</v>
      </c>
      <c r="L71" s="187">
        <v>0</v>
      </c>
      <c r="M71" s="188">
        <f>J71+L71+K71</f>
        <v>0</v>
      </c>
      <c r="N71" s="182">
        <f>J71*H71</f>
        <v>0</v>
      </c>
      <c r="O71" s="182">
        <f>K71*H71</f>
        <v>0</v>
      </c>
      <c r="P71" s="183">
        <f>L71*H71</f>
        <v>0</v>
      </c>
      <c r="Q71" s="189">
        <f>M71*H71</f>
        <v>0</v>
      </c>
      <c r="R71" s="81"/>
    </row>
    <row r="72" spans="1:18" s="75" customFormat="1" x14ac:dyDescent="0.35">
      <c r="A72" s="59">
        <f>IF(F72&lt;&gt;"",1+MAX($A$1:A71),"")</f>
        <v>26</v>
      </c>
      <c r="B72" s="2" t="s">
        <v>56</v>
      </c>
      <c r="C72" s="2" t="s">
        <v>65</v>
      </c>
      <c r="D72" s="145"/>
      <c r="E72" s="87" t="s">
        <v>68</v>
      </c>
      <c r="F72" s="14">
        <f>1*9</f>
        <v>9</v>
      </c>
      <c r="G72" s="61">
        <v>7.0000000000000007E-2</v>
      </c>
      <c r="H72" s="25">
        <f t="shared" ref="H72:H74" si="24">F72*(1+G72)</f>
        <v>9.6300000000000008</v>
      </c>
      <c r="I72" s="26" t="s">
        <v>16</v>
      </c>
      <c r="J72" s="186">
        <v>0</v>
      </c>
      <c r="K72" s="186">
        <v>0</v>
      </c>
      <c r="L72" s="187">
        <v>0</v>
      </c>
      <c r="M72" s="188">
        <f>J72+L72+K72</f>
        <v>0</v>
      </c>
      <c r="N72" s="182">
        <f>J72*H72</f>
        <v>0</v>
      </c>
      <c r="O72" s="182">
        <f>K72*H72</f>
        <v>0</v>
      </c>
      <c r="P72" s="183">
        <f>L72*H72</f>
        <v>0</v>
      </c>
      <c r="Q72" s="189">
        <f>M72*H72</f>
        <v>0</v>
      </c>
      <c r="R72" s="81"/>
    </row>
    <row r="73" spans="1:18" s="75" customFormat="1" x14ac:dyDescent="0.35">
      <c r="A73" s="59" t="str">
        <f>IF(F73&lt;&gt;"",1+MAX($A$1:A72),"")</f>
        <v/>
      </c>
      <c r="B73" s="2"/>
      <c r="C73" s="2"/>
      <c r="D73" s="145"/>
      <c r="E73" s="244" t="s">
        <v>60</v>
      </c>
      <c r="F73" s="14"/>
      <c r="G73" s="61"/>
      <c r="H73" s="25">
        <v>4</v>
      </c>
      <c r="I73" s="26" t="s">
        <v>61</v>
      </c>
      <c r="J73" s="187"/>
      <c r="K73" s="187"/>
      <c r="L73" s="187"/>
      <c r="M73" s="188"/>
      <c r="N73" s="182"/>
      <c r="O73" s="182"/>
      <c r="P73" s="183"/>
      <c r="Q73" s="189"/>
      <c r="R73" s="81"/>
    </row>
    <row r="74" spans="1:18" s="75" customFormat="1" x14ac:dyDescent="0.35">
      <c r="A74" s="59">
        <f>IF(F74&lt;&gt;"",1+MAX($A$1:A73),"")</f>
        <v>27</v>
      </c>
      <c r="B74" s="2" t="s">
        <v>56</v>
      </c>
      <c r="C74" s="2" t="s">
        <v>65</v>
      </c>
      <c r="D74" s="145"/>
      <c r="E74" s="87" t="s">
        <v>67</v>
      </c>
      <c r="F74" s="14">
        <f>1*2</f>
        <v>2</v>
      </c>
      <c r="G74" s="61">
        <v>7.0000000000000007E-2</v>
      </c>
      <c r="H74" s="25">
        <f t="shared" si="24"/>
        <v>2.14</v>
      </c>
      <c r="I74" s="26" t="s">
        <v>13</v>
      </c>
      <c r="J74" s="186">
        <v>0</v>
      </c>
      <c r="K74" s="186">
        <v>0</v>
      </c>
      <c r="L74" s="187">
        <v>0</v>
      </c>
      <c r="M74" s="188">
        <f>J74+L74+K74</f>
        <v>0</v>
      </c>
      <c r="N74" s="182">
        <f>J74*H74</f>
        <v>0</v>
      </c>
      <c r="O74" s="182">
        <f>K74*H74</f>
        <v>0</v>
      </c>
      <c r="P74" s="183">
        <f>L74*H74</f>
        <v>0</v>
      </c>
      <c r="Q74" s="189">
        <f>M74*H74</f>
        <v>0</v>
      </c>
      <c r="R74" s="81"/>
    </row>
    <row r="75" spans="1:18" s="1" customFormat="1" ht="16" thickBot="1" x14ac:dyDescent="0.4">
      <c r="A75" s="59" t="str">
        <f>IF(F75&lt;&gt;"",1+MAX($A$1:A74),"")</f>
        <v/>
      </c>
      <c r="B75" s="28"/>
      <c r="C75" s="138"/>
      <c r="D75" s="27"/>
      <c r="E75" s="110"/>
      <c r="F75" s="29"/>
      <c r="G75" s="30"/>
      <c r="H75" s="29"/>
      <c r="I75" s="31"/>
      <c r="J75" s="31"/>
      <c r="K75" s="31"/>
      <c r="L75" s="31"/>
      <c r="M75" s="31"/>
      <c r="N75" s="31"/>
      <c r="O75" s="31"/>
      <c r="P75" s="40"/>
      <c r="Q75" s="37"/>
      <c r="R75" s="190"/>
    </row>
    <row r="76" spans="1:18" s="1" customFormat="1" ht="16" thickBot="1" x14ac:dyDescent="0.4">
      <c r="A76" s="59" t="str">
        <f>IF(F76&lt;&gt;"",1+MAX($A$1:A75),"")</f>
        <v/>
      </c>
      <c r="B76" s="2"/>
      <c r="C76" s="138"/>
      <c r="D76" s="27"/>
      <c r="E76" s="33" t="s">
        <v>29</v>
      </c>
      <c r="F76" s="137"/>
      <c r="G76" s="19"/>
      <c r="H76" s="3"/>
      <c r="I76" s="20"/>
      <c r="J76" s="20"/>
      <c r="K76" s="20"/>
      <c r="L76" s="20"/>
      <c r="M76" s="20"/>
      <c r="N76" s="185">
        <f>SUM(N8:N75)</f>
        <v>0</v>
      </c>
      <c r="O76" s="185">
        <f>SUM(O8:O75)</f>
        <v>0</v>
      </c>
      <c r="P76" s="185">
        <f>SUM(P8:P75)</f>
        <v>0</v>
      </c>
      <c r="Q76" s="70"/>
      <c r="R76" s="191">
        <f>SUM(Q8:Q75)</f>
        <v>0</v>
      </c>
    </row>
    <row r="77" spans="1:18" s="71" customFormat="1" ht="19" thickBot="1" x14ac:dyDescent="0.4">
      <c r="A77" s="59" t="str">
        <f>IF(F77&lt;&gt;"",1+MAX($A$1:A76),"")</f>
        <v/>
      </c>
      <c r="B77" s="60"/>
      <c r="C77" s="143"/>
      <c r="D77" s="72"/>
      <c r="E77" s="66"/>
      <c r="F77" s="67"/>
      <c r="G77" s="61"/>
      <c r="H77" s="68"/>
      <c r="I77" s="69"/>
      <c r="J77" s="143"/>
      <c r="K77" s="143"/>
      <c r="L77" s="143"/>
      <c r="M77" s="143"/>
      <c r="N77" s="143"/>
      <c r="O77" s="143"/>
      <c r="P77" s="65"/>
      <c r="Q77" s="70"/>
      <c r="R77" s="64"/>
    </row>
    <row r="78" spans="1:18" s="1" customFormat="1" ht="16" thickBot="1" x14ac:dyDescent="0.4">
      <c r="A78" s="59" t="str">
        <f>IF(F78&lt;&gt;"",1+MAX($A$1:A77),"")</f>
        <v/>
      </c>
      <c r="B78" s="24"/>
      <c r="C78" s="140"/>
      <c r="D78" s="93"/>
      <c r="E78" s="94" t="s">
        <v>30</v>
      </c>
      <c r="F78" s="95"/>
      <c r="G78" s="96"/>
      <c r="H78" s="97"/>
      <c r="I78" s="98"/>
      <c r="J78" s="98"/>
      <c r="K78" s="243"/>
      <c r="L78" s="98"/>
      <c r="M78" s="98"/>
      <c r="N78" s="98"/>
      <c r="O78" s="98"/>
      <c r="P78" s="42"/>
      <c r="Q78" s="99"/>
      <c r="R78" s="192"/>
    </row>
    <row r="79" spans="1:18" s="71" customFormat="1" ht="99.75" customHeight="1" x14ac:dyDescent="0.35">
      <c r="A79" s="59">
        <f>IF(F79&lt;&gt;"",1+MAX($A$1:A78),"")</f>
        <v>28</v>
      </c>
      <c r="B79" s="2" t="s">
        <v>57</v>
      </c>
      <c r="C79" s="246" t="s">
        <v>75</v>
      </c>
      <c r="D79" s="72"/>
      <c r="E79" s="66" t="s">
        <v>74</v>
      </c>
      <c r="F79" s="67">
        <f>1700+25.2*2.5</f>
        <v>1763</v>
      </c>
      <c r="G79" s="61">
        <v>7.0000000000000007E-2</v>
      </c>
      <c r="H79" s="62">
        <f>F79*(1+G79)</f>
        <v>1886.41</v>
      </c>
      <c r="I79" s="63" t="s">
        <v>16</v>
      </c>
      <c r="J79" s="186">
        <v>0</v>
      </c>
      <c r="K79" s="184">
        <v>0</v>
      </c>
      <c r="L79" s="187">
        <v>0</v>
      </c>
      <c r="M79" s="188">
        <f>J79+L79+K79</f>
        <v>0</v>
      </c>
      <c r="N79" s="182">
        <f>J79*H79</f>
        <v>0</v>
      </c>
      <c r="O79" s="182">
        <f>K79*H79</f>
        <v>0</v>
      </c>
      <c r="P79" s="183">
        <f>L79*H79</f>
        <v>0</v>
      </c>
      <c r="Q79" s="189">
        <f>M79*H79</f>
        <v>0</v>
      </c>
      <c r="R79" s="64"/>
    </row>
    <row r="80" spans="1:18" s="1" customFormat="1" ht="16" thickBot="1" x14ac:dyDescent="0.4">
      <c r="A80" s="59" t="str">
        <f>IF(F80&lt;&gt;"",1+MAX($A$1:A79),"")</f>
        <v/>
      </c>
      <c r="B80" s="28"/>
      <c r="C80" s="138"/>
      <c r="D80" s="27"/>
      <c r="E80" s="245"/>
      <c r="F80" s="29"/>
      <c r="G80" s="30"/>
      <c r="H80" s="29"/>
      <c r="I80" s="31"/>
      <c r="J80" s="31"/>
      <c r="K80" s="31"/>
      <c r="L80" s="31"/>
      <c r="M80" s="31"/>
      <c r="N80" s="31"/>
      <c r="O80" s="31"/>
      <c r="P80" s="40"/>
      <c r="Q80" s="37"/>
      <c r="R80" s="190"/>
    </row>
    <row r="81" spans="1:18" s="1" customFormat="1" ht="16" thickBot="1" x14ac:dyDescent="0.4">
      <c r="A81" s="59" t="str">
        <f>IF(F81&lt;&gt;"",1+MAX($A$1:A80),"")</f>
        <v/>
      </c>
      <c r="B81" s="2"/>
      <c r="C81" s="138"/>
      <c r="D81" s="27"/>
      <c r="E81" s="33" t="s">
        <v>31</v>
      </c>
      <c r="F81" s="137"/>
      <c r="G81" s="19"/>
      <c r="H81" s="3"/>
      <c r="I81" s="20"/>
      <c r="J81" s="20"/>
      <c r="K81" s="20"/>
      <c r="L81" s="20"/>
      <c r="M81" s="20"/>
      <c r="N81" s="185">
        <f>SUM(N78:N80)</f>
        <v>0</v>
      </c>
      <c r="O81" s="185">
        <f>SUM(O78:O80)</f>
        <v>0</v>
      </c>
      <c r="P81" s="185">
        <f>SUM(P78:P80)</f>
        <v>0</v>
      </c>
      <c r="Q81" s="70"/>
      <c r="R81" s="191">
        <f>SUM(Q78:Q80)</f>
        <v>0</v>
      </c>
    </row>
    <row r="82" spans="1:18" s="71" customFormat="1" ht="19" thickBot="1" x14ac:dyDescent="0.4">
      <c r="A82" s="59" t="str">
        <f>IF(F82&lt;&gt;"",1+MAX($A$1:A81),"")</f>
        <v/>
      </c>
      <c r="B82" s="60"/>
      <c r="C82" s="143"/>
      <c r="D82" s="72"/>
      <c r="E82" s="66"/>
      <c r="F82" s="67"/>
      <c r="G82" s="61"/>
      <c r="H82" s="68"/>
      <c r="I82" s="69"/>
      <c r="J82" s="143"/>
      <c r="K82" s="143"/>
      <c r="L82" s="143"/>
      <c r="M82" s="143"/>
      <c r="N82" s="143"/>
      <c r="O82" s="143"/>
      <c r="P82" s="65"/>
      <c r="Q82" s="70"/>
      <c r="R82" s="64"/>
    </row>
    <row r="83" spans="1:18" s="1" customFormat="1" ht="16" thickBot="1" x14ac:dyDescent="0.4">
      <c r="A83" s="59" t="str">
        <f>IF(F83&lt;&gt;"",1+MAX($A$1:A82),"")</f>
        <v/>
      </c>
      <c r="B83" s="24"/>
      <c r="C83" s="140"/>
      <c r="D83" s="93"/>
      <c r="E83" s="94" t="s">
        <v>37</v>
      </c>
      <c r="F83" s="95"/>
      <c r="G83" s="96"/>
      <c r="H83" s="97"/>
      <c r="I83" s="98"/>
      <c r="J83" s="98"/>
      <c r="K83" s="98"/>
      <c r="L83" s="98"/>
      <c r="M83" s="98"/>
      <c r="N83" s="98"/>
      <c r="O83" s="98"/>
      <c r="P83" s="42"/>
      <c r="Q83" s="99"/>
      <c r="R83" s="192"/>
    </row>
    <row r="84" spans="1:18" s="71" customFormat="1" ht="150" customHeight="1" x14ac:dyDescent="0.35">
      <c r="A84" s="59">
        <f>IF(F84&lt;&gt;"",1+MAX($A$1:A83),"")</f>
        <v>29</v>
      </c>
      <c r="B84" s="2" t="s">
        <v>57</v>
      </c>
      <c r="C84" s="246" t="s">
        <v>76</v>
      </c>
      <c r="D84" s="148"/>
      <c r="E84" s="147" t="s">
        <v>77</v>
      </c>
      <c r="F84" s="67">
        <v>939</v>
      </c>
      <c r="G84" s="61">
        <v>7.0000000000000007E-2</v>
      </c>
      <c r="H84" s="62">
        <f>F84*(1+G84)</f>
        <v>1004.73</v>
      </c>
      <c r="I84" s="63" t="s">
        <v>16</v>
      </c>
      <c r="J84" s="186">
        <v>0</v>
      </c>
      <c r="K84" s="186">
        <v>0</v>
      </c>
      <c r="L84" s="187">
        <v>0</v>
      </c>
      <c r="M84" s="188">
        <f>J84+L84+K84</f>
        <v>0</v>
      </c>
      <c r="N84" s="182">
        <f>J84*H84</f>
        <v>0</v>
      </c>
      <c r="O84" s="182">
        <f>K84*H84</f>
        <v>0</v>
      </c>
      <c r="P84" s="183">
        <f>L84*H84</f>
        <v>0</v>
      </c>
      <c r="Q84" s="189">
        <f>M84*H84</f>
        <v>0</v>
      </c>
      <c r="R84" s="64"/>
    </row>
    <row r="85" spans="1:18" s="1" customFormat="1" ht="16" thickBot="1" x14ac:dyDescent="0.4">
      <c r="A85" s="59" t="str">
        <f>IF(F85&lt;&gt;"",1+MAX($A$1:A84),"")</f>
        <v/>
      </c>
      <c r="B85" s="28"/>
      <c r="C85" s="138"/>
      <c r="D85" s="27"/>
      <c r="E85" s="245"/>
      <c r="F85" s="29"/>
      <c r="G85" s="30"/>
      <c r="H85" s="29"/>
      <c r="I85" s="31"/>
      <c r="J85" s="31"/>
      <c r="K85" s="31"/>
      <c r="L85" s="31"/>
      <c r="M85" s="31"/>
      <c r="N85" s="31"/>
      <c r="O85" s="31"/>
      <c r="P85" s="40"/>
      <c r="Q85" s="37"/>
      <c r="R85" s="190"/>
    </row>
    <row r="86" spans="1:18" s="1" customFormat="1" ht="16" thickBot="1" x14ac:dyDescent="0.4">
      <c r="A86" s="59" t="str">
        <f>IF(F86&lt;&gt;"",1+MAX($A$1:A85),"")</f>
        <v/>
      </c>
      <c r="B86" s="2"/>
      <c r="C86" s="138"/>
      <c r="D86" s="27"/>
      <c r="E86" s="33" t="s">
        <v>38</v>
      </c>
      <c r="F86" s="137"/>
      <c r="G86" s="19"/>
      <c r="H86" s="3"/>
      <c r="I86" s="20"/>
      <c r="J86" s="20"/>
      <c r="K86" s="20"/>
      <c r="L86" s="20"/>
      <c r="M86" s="20"/>
      <c r="N86" s="185">
        <f>SUM(N83:N85)</f>
        <v>0</v>
      </c>
      <c r="O86" s="185">
        <f>SUM(O83:O85)</f>
        <v>0</v>
      </c>
      <c r="P86" s="185">
        <f>SUM(P83:P85)</f>
        <v>0</v>
      </c>
      <c r="Q86" s="70"/>
      <c r="R86" s="191">
        <f>SUM(Q83:Q85)</f>
        <v>0</v>
      </c>
    </row>
    <row r="87" spans="1:18" s="75" customFormat="1" ht="16" thickBot="1" x14ac:dyDescent="0.4">
      <c r="A87" s="193" t="str">
        <f>IF(F87&lt;&gt;"",1+MAX(#REF!),"")</f>
        <v/>
      </c>
      <c r="B87" s="194"/>
      <c r="C87" s="195"/>
      <c r="D87" s="196"/>
      <c r="E87" s="197"/>
      <c r="F87" s="198"/>
      <c r="G87" s="199"/>
      <c r="H87" s="200"/>
      <c r="I87" s="201"/>
      <c r="J87" s="202"/>
      <c r="K87" s="202"/>
      <c r="L87" s="202"/>
      <c r="M87" s="202"/>
      <c r="N87" s="202"/>
      <c r="O87" s="202"/>
      <c r="P87" s="203"/>
      <c r="Q87" s="204"/>
      <c r="R87" s="81"/>
    </row>
    <row r="88" spans="1:18" s="75" customFormat="1" ht="16" thickBot="1" x14ac:dyDescent="0.4">
      <c r="A88" s="213"/>
      <c r="B88" s="214"/>
      <c r="C88" s="214"/>
      <c r="D88" s="215"/>
      <c r="E88" s="216"/>
      <c r="F88" s="217"/>
      <c r="G88" s="218"/>
      <c r="H88" s="219"/>
      <c r="I88" s="220"/>
      <c r="J88" s="220"/>
      <c r="K88" s="211" t="s">
        <v>48</v>
      </c>
      <c r="L88" s="209"/>
      <c r="M88" s="209"/>
      <c r="N88" s="210">
        <f>SUM(N6:N87)/2</f>
        <v>0</v>
      </c>
      <c r="O88" s="220"/>
      <c r="P88" s="221"/>
      <c r="Q88" s="222"/>
      <c r="R88" s="81"/>
    </row>
    <row r="89" spans="1:18" s="75" customFormat="1" ht="16" thickBot="1" x14ac:dyDescent="0.4">
      <c r="A89" s="223"/>
      <c r="B89" s="224"/>
      <c r="C89" s="224"/>
      <c r="D89" s="225"/>
      <c r="E89" s="226"/>
      <c r="F89" s="227"/>
      <c r="G89" s="228"/>
      <c r="H89" s="229"/>
      <c r="I89" s="230"/>
      <c r="J89" s="230"/>
      <c r="K89" s="230"/>
      <c r="L89" s="211" t="s">
        <v>47</v>
      </c>
      <c r="M89" s="209"/>
      <c r="N89" s="209"/>
      <c r="O89" s="210">
        <f>SUM(O7:O88)/2</f>
        <v>0</v>
      </c>
      <c r="P89" s="231"/>
      <c r="Q89" s="232"/>
      <c r="R89" s="81"/>
    </row>
    <row r="90" spans="1:18" ht="16" thickBot="1" x14ac:dyDescent="0.4">
      <c r="A90" s="50" t="s">
        <v>12</v>
      </c>
      <c r="B90" s="51"/>
      <c r="C90" s="52"/>
      <c r="D90" s="52"/>
      <c r="E90" s="53"/>
      <c r="F90" s="54"/>
      <c r="G90" s="55"/>
      <c r="H90" s="55"/>
      <c r="I90" s="56"/>
      <c r="J90" s="56"/>
      <c r="K90" s="56"/>
      <c r="L90" s="56"/>
      <c r="M90" s="56"/>
      <c r="N90" s="56"/>
      <c r="O90" s="56"/>
      <c r="P90" s="104"/>
      <c r="Q90" s="107">
        <f>(SUM(Q6:Q89))/1</f>
        <v>0</v>
      </c>
      <c r="R90" s="105">
        <f>SUM(R6:R89)</f>
        <v>0</v>
      </c>
    </row>
    <row r="91" spans="1:18" ht="16" thickBot="1" x14ac:dyDescent="0.4">
      <c r="A91" s="111" t="s">
        <v>49</v>
      </c>
      <c r="B91" s="112"/>
      <c r="C91" s="113"/>
      <c r="D91" s="113"/>
      <c r="E91" s="114"/>
      <c r="F91" s="115"/>
      <c r="G91" s="116"/>
      <c r="H91" s="116"/>
      <c r="I91" s="117"/>
      <c r="J91" s="117"/>
      <c r="K91" s="117"/>
      <c r="L91" s="117"/>
      <c r="M91" s="117"/>
      <c r="N91" s="117"/>
      <c r="O91" s="117"/>
      <c r="P91" s="119">
        <v>0.08</v>
      </c>
      <c r="Q91" s="118">
        <f>P91*N88</f>
        <v>0</v>
      </c>
      <c r="R91" s="212">
        <f>N88*P91</f>
        <v>0</v>
      </c>
    </row>
    <row r="92" spans="1:18" s="205" customFormat="1" ht="16" thickBot="1" x14ac:dyDescent="0.4">
      <c r="A92" s="233" t="s">
        <v>53</v>
      </c>
      <c r="B92" s="234"/>
      <c r="C92" s="235"/>
      <c r="D92" s="235"/>
      <c r="E92" s="236"/>
      <c r="F92" s="237"/>
      <c r="G92" s="238"/>
      <c r="H92" s="238"/>
      <c r="I92" s="239"/>
      <c r="J92" s="239"/>
      <c r="K92" s="239"/>
      <c r="L92" s="239"/>
      <c r="M92" s="239"/>
      <c r="N92" s="239"/>
      <c r="O92" s="239"/>
      <c r="P92" s="119">
        <v>0.2</v>
      </c>
      <c r="Q92" s="240">
        <f>P92*Q90</f>
        <v>0</v>
      </c>
      <c r="R92" s="241">
        <f>P92*R90</f>
        <v>0</v>
      </c>
    </row>
    <row r="93" spans="1:18" s="205" customFormat="1" ht="16" thickBot="1" x14ac:dyDescent="0.4">
      <c r="A93" s="111" t="s">
        <v>46</v>
      </c>
      <c r="B93" s="112"/>
      <c r="C93" s="113"/>
      <c r="D93" s="113"/>
      <c r="E93" s="114"/>
      <c r="F93" s="115"/>
      <c r="G93" s="116"/>
      <c r="H93" s="116"/>
      <c r="I93" s="117"/>
      <c r="J93" s="117"/>
      <c r="K93" s="117"/>
      <c r="L93" s="117"/>
      <c r="M93" s="117"/>
      <c r="N93" s="117"/>
      <c r="O93" s="117"/>
      <c r="P93" s="119">
        <v>0.05</v>
      </c>
      <c r="Q93" s="118">
        <f>P93*Q90</f>
        <v>0</v>
      </c>
      <c r="R93" s="242">
        <f>P93*R90</f>
        <v>0</v>
      </c>
    </row>
    <row r="94" spans="1:18" ht="16" thickBot="1" x14ac:dyDescent="0.4">
      <c r="A94" s="108" t="s">
        <v>33</v>
      </c>
      <c r="B94" s="44"/>
      <c r="C94" s="45"/>
      <c r="D94" s="45"/>
      <c r="E94" s="46"/>
      <c r="F94" s="47"/>
      <c r="G94" s="48"/>
      <c r="H94" s="49"/>
      <c r="I94" s="45"/>
      <c r="J94" s="45"/>
      <c r="K94" s="45"/>
      <c r="L94" s="45"/>
      <c r="M94" s="45"/>
      <c r="N94" s="45"/>
      <c r="O94" s="45"/>
      <c r="P94" s="106"/>
      <c r="Q94" s="109">
        <f>SUM(Q90:Q93)</f>
        <v>0</v>
      </c>
      <c r="R94" s="109">
        <f>SUM(R90:R93)</f>
        <v>0</v>
      </c>
    </row>
    <row r="95" spans="1:18" x14ac:dyDescent="0.35">
      <c r="A95" s="128" t="s">
        <v>19</v>
      </c>
      <c r="B95" s="129"/>
      <c r="C95" s="130"/>
      <c r="D95" s="130"/>
      <c r="E95" s="131"/>
      <c r="F95" s="132"/>
      <c r="G95" s="133"/>
      <c r="H95" s="133"/>
      <c r="I95" s="130"/>
      <c r="J95" s="130"/>
      <c r="K95" s="130"/>
      <c r="L95" s="130"/>
      <c r="M95" s="130"/>
      <c r="N95" s="130"/>
      <c r="O95" s="130"/>
      <c r="P95" s="134"/>
      <c r="Q95" s="135"/>
      <c r="R95" s="136"/>
    </row>
    <row r="96" spans="1:18" ht="16" thickBot="1" x14ac:dyDescent="0.4">
      <c r="A96" s="146" t="s">
        <v>32</v>
      </c>
      <c r="B96" s="120"/>
      <c r="C96" s="121"/>
      <c r="D96" s="121"/>
      <c r="E96" s="122"/>
      <c r="F96" s="123"/>
      <c r="G96" s="124"/>
      <c r="H96" s="124"/>
      <c r="I96" s="121"/>
      <c r="J96" s="121"/>
      <c r="K96" s="121"/>
      <c r="L96" s="121"/>
      <c r="M96" s="121"/>
      <c r="N96" s="121"/>
      <c r="O96" s="121"/>
      <c r="P96" s="125"/>
      <c r="Q96" s="126"/>
      <c r="R96" s="127"/>
    </row>
  </sheetData>
  <pageMargins left="0.7" right="0.7" top="0.75" bottom="0.75" header="0.3" footer="0.3"/>
  <pageSetup paperSize="140" scale="46" fitToHeight="0" orientation="landscape" r:id="rId1"/>
  <headerFooter>
    <oddFooter>&amp;C&amp;P of &amp;N</oddFooter>
  </headerFooter>
  <ignoredErrors>
    <ignoredError sqref="H17 H39 H51:H53 H72 H66:H67 H63:H65 H68:H7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C3490B33-E4E4-403E-BFAD-6726FCF554B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ESTIMATE</vt:lpstr>
      <vt:lpstr>'DETAILED ESTIMATE'!Print_Area</vt:lpstr>
      <vt:lpstr>'DETAILED ESTIMATE'!Print_Titles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2023-12-27T13:16:47Z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{C3490B33-E4E4-403E-BFAD-6726FCF554B4}</vt:lpwstr>
  </property>
</Properties>
</file>